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6000" windowHeight="6195" activeTab="0"/>
  </bookViews>
  <sheets>
    <sheet name="Inc.Statements" sheetId="1" r:id="rId1"/>
    <sheet name="Bal.Sheet" sheetId="2" r:id="rId2"/>
    <sheet name="Cash Flow" sheetId="3" r:id="rId3"/>
    <sheet name="Stat Of Chang In Equity" sheetId="4" r:id="rId4"/>
    <sheet name="Notes" sheetId="5" r:id="rId5"/>
  </sheets>
  <definedNames>
    <definedName name="_xlnm.Print_Area" localSheetId="1">'Bal.Sheet'!$A$1:$P$63</definedName>
    <definedName name="_xlnm.Print_Area" localSheetId="2">'Cash Flow'!$A$1:$G$50</definedName>
    <definedName name="_xlnm.Print_Area" localSheetId="0">'Inc.Statements'!$A$1:$K$56</definedName>
    <definedName name="_xlnm.Print_Area" localSheetId="4">'Notes'!$A$1:$O$269</definedName>
    <definedName name="_xlnm.Print_Area" localSheetId="3">'Stat Of Chang In Equity'!$A$1:$M$51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<sst xmlns="http://schemas.openxmlformats.org/spreadsheetml/2006/main" count="411" uniqueCount="331">
  <si>
    <t>A</t>
  </si>
  <si>
    <t>ANNOUNCEMENT</t>
  </si>
  <si>
    <t>INDIVIDUAL QUARTER</t>
  </si>
  <si>
    <t xml:space="preserve">CUMULATIVE </t>
  </si>
  <si>
    <t xml:space="preserve">HALF </t>
  </si>
  <si>
    <t>CURRENT</t>
  </si>
  <si>
    <t>PRECEDING YEAR</t>
  </si>
  <si>
    <t>YEAR</t>
  </si>
  <si>
    <t>CORRESPONDING</t>
  </si>
  <si>
    <t>ENDED</t>
  </si>
  <si>
    <t>QUARTER</t>
  </si>
  <si>
    <t>TO DATE</t>
  </si>
  <si>
    <t>31 DECEMBER 1999</t>
  </si>
  <si>
    <t>31 DECEMBER 1998</t>
  </si>
  <si>
    <t>RM '000</t>
  </si>
  <si>
    <t>companies</t>
  </si>
  <si>
    <t>(i)  Basic (based on 1,859,913,793</t>
  </si>
  <si>
    <t xml:space="preserve">     ordinary shares) (sen)</t>
  </si>
  <si>
    <t xml:space="preserve">AS AT </t>
  </si>
  <si>
    <t>END OF</t>
  </si>
  <si>
    <t>PRECEDING</t>
  </si>
  <si>
    <t>AS AT</t>
  </si>
  <si>
    <t>FINANCIAL</t>
  </si>
  <si>
    <t>YEAR END</t>
  </si>
  <si>
    <t>Intangible Assets</t>
  </si>
  <si>
    <t>Current Assets</t>
  </si>
  <si>
    <t>Cash</t>
  </si>
  <si>
    <t>Amounts due from Group Companies</t>
  </si>
  <si>
    <t>Amounts due from Associated Companies</t>
  </si>
  <si>
    <t>Short Term Borrowings</t>
  </si>
  <si>
    <t>Provision for Taxation</t>
  </si>
  <si>
    <t>Amounts due to Group Companies</t>
  </si>
  <si>
    <t>Amounts due to Associated Companies</t>
  </si>
  <si>
    <t>Net Current Assets/(Liabilities)</t>
  </si>
  <si>
    <t>Shareholders' Funds</t>
  </si>
  <si>
    <t>Share Capital</t>
  </si>
  <si>
    <t xml:space="preserve">Reserves </t>
  </si>
  <si>
    <t>Share Premium</t>
  </si>
  <si>
    <t>Revaluation Reserve</t>
  </si>
  <si>
    <t>Other Reserves</t>
  </si>
  <si>
    <t>Statutory Reserve</t>
  </si>
  <si>
    <t>Retained Profit</t>
  </si>
  <si>
    <t>Minority Interests</t>
  </si>
  <si>
    <t>Long Term Borrowings</t>
  </si>
  <si>
    <t>Deferred Taxation</t>
  </si>
  <si>
    <t>check</t>
  </si>
  <si>
    <t>Marketable Securities</t>
  </si>
  <si>
    <t>Revenue</t>
  </si>
  <si>
    <t>Finance cost</t>
  </si>
  <si>
    <t>Inventories</t>
  </si>
  <si>
    <t>Long Term Investments</t>
  </si>
  <si>
    <t>Investment in Associated Companies</t>
  </si>
  <si>
    <t>ACCOUNTING POLICIES</t>
  </si>
  <si>
    <t>EXCEPTIONAL ITEMS</t>
  </si>
  <si>
    <t>There are no exceptional items during the current financial year to date.</t>
  </si>
  <si>
    <t>TAXATION</t>
  </si>
  <si>
    <t>Income tax charge/(credit)</t>
  </si>
  <si>
    <t>- current period</t>
  </si>
  <si>
    <t>- prior year</t>
  </si>
  <si>
    <t>Deferred taxation</t>
  </si>
  <si>
    <t>PROFITS ON SALE OF INVESTMENTS AND/OR PROPERTIES</t>
  </si>
  <si>
    <t>There are no sales of investments and/or properties for the current financial year to date.</t>
  </si>
  <si>
    <t>PURCHASES AND SALES OF QUOTED SECURITIES</t>
  </si>
  <si>
    <t xml:space="preserve"> </t>
  </si>
  <si>
    <t xml:space="preserve">   At cost</t>
  </si>
  <si>
    <t xml:space="preserve">   At carrying value</t>
  </si>
  <si>
    <t xml:space="preserve">   At market value</t>
  </si>
  <si>
    <t>Other Investments (Long Term)</t>
  </si>
  <si>
    <t>CHANGES IN THE COMPOSITION OF THE GROUP</t>
  </si>
  <si>
    <t>STATUS OF CORPORATE PROPOSALS</t>
  </si>
  <si>
    <t>SEASONALITY OR CYCLICALITY OF OPERATIONS</t>
  </si>
  <si>
    <t>ISSUANCE OR REPAYMENT OF DEBT AND EQUITY SECURITIES</t>
  </si>
  <si>
    <t>GROUP BORROWINGS</t>
  </si>
  <si>
    <t xml:space="preserve">   Secured</t>
  </si>
  <si>
    <t xml:space="preserve">   Unsecured</t>
  </si>
  <si>
    <t>Total</t>
  </si>
  <si>
    <t xml:space="preserve">US Dollars </t>
  </si>
  <si>
    <t>CONTINGENT LIABILITIES</t>
  </si>
  <si>
    <t>Contingent liabilities of the Group comprise the following :-</t>
  </si>
  <si>
    <t>Letters of guarantee issued in</t>
  </si>
  <si>
    <t>respect of banking facilities</t>
  </si>
  <si>
    <t>OFF BALANCE SHEET FINANCIAL INSTRUMENTS</t>
  </si>
  <si>
    <t>There is no material litigation involving the Group.</t>
  </si>
  <si>
    <t>SEGMENT REPORT</t>
  </si>
  <si>
    <t>Segmental analysis for the current financial year to date is as follows:</t>
  </si>
  <si>
    <t>Non-shipping</t>
  </si>
  <si>
    <t>Group</t>
  </si>
  <si>
    <t>COMPARISON WITH PRECEDING QUARTER'S RESULTS</t>
  </si>
  <si>
    <t>REVIEW OF PERFORMANCE</t>
  </si>
  <si>
    <t>CURRENT YEAR PROSPECTS</t>
  </si>
  <si>
    <t>VARIANCE OF FORECAST PROFIT/PROFIT GUARANTEE</t>
  </si>
  <si>
    <t>DIVIDENDS</t>
  </si>
  <si>
    <t>Proposed dividends/Dividends payable</t>
  </si>
  <si>
    <t>Other operating income</t>
  </si>
  <si>
    <t>Taxation</t>
  </si>
  <si>
    <t>Ordinary</t>
  </si>
  <si>
    <t>shares</t>
  </si>
  <si>
    <t xml:space="preserve">Share </t>
  </si>
  <si>
    <t>premium</t>
  </si>
  <si>
    <t>Other</t>
  </si>
  <si>
    <t>reserves</t>
  </si>
  <si>
    <t>Retained</t>
  </si>
  <si>
    <t>profits</t>
  </si>
  <si>
    <t>Currency translation differences</t>
  </si>
  <si>
    <t>Net gain not recognised in income statement</t>
  </si>
  <si>
    <t>Net profit</t>
  </si>
  <si>
    <t>Dividends</t>
  </si>
  <si>
    <t>CHANGES IN MATERIAL LITIGATION</t>
  </si>
  <si>
    <t>EARNINGS PER SHARE</t>
  </si>
  <si>
    <t>B16)</t>
  </si>
  <si>
    <t>CHANGES IN ESTIMATES</t>
  </si>
  <si>
    <t>External sales</t>
  </si>
  <si>
    <t>Total revenue</t>
  </si>
  <si>
    <t>Result</t>
  </si>
  <si>
    <t>Shipping</t>
  </si>
  <si>
    <t>Cash Flow from Operations</t>
  </si>
  <si>
    <t>Investing Activities</t>
  </si>
  <si>
    <t>Financing Activities</t>
  </si>
  <si>
    <t>Net Change in Cash &amp; Cash Equivalents</t>
  </si>
  <si>
    <t>Trade &amp; Other Receivables</t>
  </si>
  <si>
    <t>Trade &amp; Other Payables</t>
  </si>
  <si>
    <t>Currency translation difference</t>
  </si>
  <si>
    <t>AUDIT REPORT OF PRECEDING ANNUAL FINANCIAL STATEMENTS</t>
  </si>
  <si>
    <t>There are no variance of forecast profit/ profit guarantee during the current financial year to date.</t>
  </si>
  <si>
    <t>Integrated</t>
  </si>
  <si>
    <t>In respect of earnings per share :-</t>
  </si>
  <si>
    <t>Cash receipts from customers</t>
  </si>
  <si>
    <t>Cash paid to suppliers and employees</t>
  </si>
  <si>
    <t>Taxation paid</t>
  </si>
  <si>
    <t>Cash Flow from Operating Activities</t>
  </si>
  <si>
    <t>Cash &amp; Cash Equivalents at the beginning of the year</t>
  </si>
  <si>
    <t>Equity investments</t>
  </si>
  <si>
    <t>Interest received</t>
  </si>
  <si>
    <t>Repayment of term loans</t>
  </si>
  <si>
    <t>Repayment of Islamic Private Debt Securities</t>
  </si>
  <si>
    <t>Interest paid</t>
  </si>
  <si>
    <t>Dividends paid to minority shareholders of subsidiaries</t>
  </si>
  <si>
    <t>Dividends paid to shareholders of Corporation</t>
  </si>
  <si>
    <t>Distributable</t>
  </si>
  <si>
    <t>Non-distributable</t>
  </si>
  <si>
    <t>REVENUE AND RESULT</t>
  </si>
  <si>
    <t>Profit/(Loss) from operations</t>
  </si>
  <si>
    <t>Other investments</t>
  </si>
  <si>
    <t>*  Included in share capital is one preference share of RM1.</t>
  </si>
  <si>
    <t xml:space="preserve"> Liner Logistics</t>
  </si>
  <si>
    <t>VARIANCE OF ACTUAL RESULTS COMPARED WITH FORECASTED AND SHORTFALL IN PROFIT GUARANTEE</t>
  </si>
  <si>
    <t>Profit from operations</t>
  </si>
  <si>
    <t>Share of results of associated</t>
  </si>
  <si>
    <t>Profit before tax</t>
  </si>
  <si>
    <t>Profit after tax</t>
  </si>
  <si>
    <t>Less minority interests</t>
  </si>
  <si>
    <t xml:space="preserve">Net profit attributable to </t>
  </si>
  <si>
    <t>shareholders of the company</t>
  </si>
  <si>
    <t>Earnings per share based on net profit</t>
  </si>
  <si>
    <t>attributable to shareholders of the company : -</t>
  </si>
  <si>
    <t>(ii)  Diluted (based on 1,859,913,793</t>
  </si>
  <si>
    <t>MALAYSIA INTERNATIONAL SHIPPING CORPORATION BERHAD</t>
  </si>
  <si>
    <t>(Company No.: 8178-H)</t>
  </si>
  <si>
    <t>Page 2 of 8</t>
  </si>
  <si>
    <t>Ships</t>
  </si>
  <si>
    <t>Property and Equipment</t>
  </si>
  <si>
    <t>Non-Current Liabilities</t>
  </si>
  <si>
    <t>Page 3 of 8</t>
  </si>
  <si>
    <t>Capital expenditure</t>
  </si>
  <si>
    <t>Cash Flow from Investing Activities</t>
  </si>
  <si>
    <t>Drawdown of Islamic Private Debt Securities</t>
  </si>
  <si>
    <t>Cash Flow from Financing Activities</t>
  </si>
  <si>
    <t>Page 4 of 8</t>
  </si>
  <si>
    <t>Page 5 of 8</t>
  </si>
  <si>
    <t>NOTES TO THE FINANCIAL REPORT</t>
  </si>
  <si>
    <t>A1.</t>
  </si>
  <si>
    <t xml:space="preserve">The interim financial statements have been prepared in accordance with Malaysian Accounting Standards </t>
  </si>
  <si>
    <t>A2.</t>
  </si>
  <si>
    <t xml:space="preserve">There was no qualified report issued by the auditors in the annual financial statements for the year ended </t>
  </si>
  <si>
    <t>A3.</t>
  </si>
  <si>
    <t>subject to market fluctuations.</t>
  </si>
  <si>
    <t>A4.</t>
  </si>
  <si>
    <t>A5.</t>
  </si>
  <si>
    <t>A6.</t>
  </si>
  <si>
    <t>A7.</t>
  </si>
  <si>
    <t>A8.</t>
  </si>
  <si>
    <t>Page 6 of 8</t>
  </si>
  <si>
    <t>A9.</t>
  </si>
  <si>
    <t>VALUATION OF SHIPS, PROPERTY AND EQUIPMENT</t>
  </si>
  <si>
    <t>A10.</t>
  </si>
  <si>
    <t>SUBSEQUENT MATERIAL EVENTS</t>
  </si>
  <si>
    <t>A11.</t>
  </si>
  <si>
    <t>A12.</t>
  </si>
  <si>
    <t>B1.</t>
  </si>
  <si>
    <t>B2.</t>
  </si>
  <si>
    <t>B3.</t>
  </si>
  <si>
    <t>B4.</t>
  </si>
  <si>
    <t>The Company did not provide any profit forecast or profit guarantee in any public document.</t>
  </si>
  <si>
    <t>Page 7 of 8</t>
  </si>
  <si>
    <t>B5.</t>
  </si>
  <si>
    <t>B6.</t>
  </si>
  <si>
    <t>B7.</t>
  </si>
  <si>
    <t>i)</t>
  </si>
  <si>
    <t>ii)</t>
  </si>
  <si>
    <t>B8.</t>
  </si>
  <si>
    <t>B9.</t>
  </si>
  <si>
    <t>Page 8 of 8</t>
  </si>
  <si>
    <t>B10.</t>
  </si>
  <si>
    <t>B11.</t>
  </si>
  <si>
    <t>B12.</t>
  </si>
  <si>
    <t>B13.</t>
  </si>
  <si>
    <t xml:space="preserve">The Group does not have in issue any financial instrument or other contract that may entitle its holder to </t>
  </si>
  <si>
    <t>ordinary shares and therefore, dilutive to its basic earnings per share.</t>
  </si>
  <si>
    <t>Page 1 of 8</t>
  </si>
  <si>
    <t>31 MARCH 2003</t>
  </si>
  <si>
    <t>At 1 April 2003</t>
  </si>
  <si>
    <t>31 March 2003.</t>
  </si>
  <si>
    <t xml:space="preserve">Movement in reserves </t>
  </si>
  <si>
    <t>QUARTERLY REPORT</t>
  </si>
  <si>
    <t>At 1 April 2002</t>
  </si>
  <si>
    <t>Redeemable Preference Shares</t>
  </si>
  <si>
    <t>Unsecured</t>
  </si>
  <si>
    <t>Secured</t>
  </si>
  <si>
    <t xml:space="preserve">On 22 July 2003, MISC closed the deal with Neptune Orient Lines Ltd for the acquisition of a 100% interest </t>
  </si>
  <si>
    <t>With the exception to the above transactions, there were no other issuance and repayment of debt and</t>
  </si>
  <si>
    <t>equity securities, share buy-backs, share cancellation or shares held as treasury shares and resale of</t>
  </si>
  <si>
    <t>treasury shares.</t>
  </si>
  <si>
    <t>Transfer of reserves to retained profit</t>
  </si>
  <si>
    <t>A subsidiary company that was acquired in 1998 has interest rate swap contracts to convert a portion of</t>
  </si>
  <si>
    <t>its floating rate interest obligations. Under these interest rate swap contracts, the subsidiary company</t>
  </si>
  <si>
    <t>concerned agreed with the  counterparties to receive interest at floating rates and to pay interest at a</t>
  </si>
  <si>
    <t>The interest rate swap contracts are secured by a counter-guarantee from certain subsidiary companies</t>
  </si>
  <si>
    <t>and mortgaged on the vessels of these subsidiary companies.</t>
  </si>
  <si>
    <t>and represents the amount the Group would have to pay to terminate the contracts.</t>
  </si>
  <si>
    <t>statement.</t>
  </si>
  <si>
    <t>The number of ordinary shares used as the denominator in calculating the earnings per share is</t>
  </si>
  <si>
    <t>1,859,914,000.</t>
  </si>
  <si>
    <t>During the current financial year to date, the Group adopted the provisions of MASB 25 - "Income Taxes"</t>
  </si>
  <si>
    <t>Current Liabilities</t>
  </si>
  <si>
    <t>Cash &amp; Cash Equivalent at the end of the period</t>
  </si>
  <si>
    <t>With the exception of the newly adopted standards mentioned above, the accounting policies and methods</t>
  </si>
  <si>
    <t>of computation used in the preparation of the Group's Annual Financial  Statements for the year ended 31</t>
  </si>
  <si>
    <t>March 2003 have been consistently applied in the preparation of the quarterly financial statements.</t>
  </si>
  <si>
    <t>*</t>
  </si>
  <si>
    <t>secured and unsecured categories is as follows :-</t>
  </si>
  <si>
    <t>Board (MASB) 26 - "Interim Financial Reporting" and Chapter 9 Part K of the Listing Requirements of</t>
  </si>
  <si>
    <t>On 30 December 2003, the Group also paid an interim dividend of 15 sen per share tax exempt</t>
  </si>
  <si>
    <t>The Group paid a final dividend of 15 sen per share tax exempt (2001/2002 : 15 sen) on 26 August 2003 in</t>
  </si>
  <si>
    <t>The valuations of land and buildings have been brought forward without any amendments from the most</t>
  </si>
  <si>
    <t>recent annual audited financial statements as no revaluation has been carried out since 31 March 2003.</t>
  </si>
  <si>
    <t>The income of the Group that is derived from the operations of sea-going Malaysian registered ships is tax</t>
  </si>
  <si>
    <t>exempt under Section 54A of the Income Tax Act, 1967. The taxation charge for the Group is attributable</t>
  </si>
  <si>
    <t>to tax in respect of other activities of the Group.</t>
  </si>
  <si>
    <t>31 MAR 2004</t>
  </si>
  <si>
    <t>This is a quarterly report on consolidated results for the period ended 31 March 2004.</t>
  </si>
  <si>
    <t>CONDENSED CONSOLIDATED BALANCE SHEET AS AT 31 MARCH 2004</t>
  </si>
  <si>
    <t>Deferred tax asset</t>
  </si>
  <si>
    <t>CONDENSED CONSOLIDATED INCOME STATEMENT FOR THE PERIOD ENDED 31 MARCH 2004</t>
  </si>
  <si>
    <t>31 MAR 2003</t>
  </si>
  <si>
    <t>CONDENSED CONSOLIDATED CASH FLOW STATEMENT FOR THE PERIOD ENDED 31 MARCH 2004</t>
  </si>
  <si>
    <t>Prior year adjustments:</t>
  </si>
  <si>
    <t>At 1 April 2002 as restated</t>
  </si>
  <si>
    <t>FINANCIAL YEAR ENDED 31 MAR 2003</t>
  </si>
  <si>
    <t>At 31 March 2004</t>
  </si>
  <si>
    <t>At 31 March 2003</t>
  </si>
  <si>
    <t>FINANCIAL YEAR ENDED 31 MARCH 2004</t>
  </si>
  <si>
    <t>As a result of the increase in ownership stake, MSEH is now a subsidiary of the Corporation.</t>
  </si>
  <si>
    <t>extended to third party</t>
  </si>
  <si>
    <t>Jan 04-Apr 04</t>
  </si>
  <si>
    <t>Apr 03-Apr 04</t>
  </si>
  <si>
    <t>With the exception of this transaction, there were no additional acquisition or disposal</t>
  </si>
  <si>
    <t>of quoted securities during the current financial year to date.</t>
  </si>
  <si>
    <t>Disposal of quoted securities generated proceeds of RM1,302,000 for the financial year.</t>
  </si>
  <si>
    <t>Investments in quoted securities as at 31 March 2004 are as follows:-</t>
  </si>
  <si>
    <t>Sdn. Bhd. and IMC Enterprises Incorporated to acquire an additional 22% equity interest in MSE Holdings</t>
  </si>
  <si>
    <t>The acquisition was completed on 17 March 2004.</t>
  </si>
  <si>
    <t>The tenure of Group borrowings as at 31 March 2004 classified as short and long term as well as</t>
  </si>
  <si>
    <t>iii)</t>
  </si>
  <si>
    <t>respect of shares which are exempted from Mandatory Deposit;</t>
  </si>
  <si>
    <t>in respect of Ordinary Transfers; and</t>
  </si>
  <si>
    <t>31 March 2004 which are the same as the net profits shown in the condensed consolidated income</t>
  </si>
  <si>
    <t>The average floating interest rate on these contracts during the quarter was 1.2% per annum (financial</t>
  </si>
  <si>
    <t>CONDENSED CONSOLIDATED STATEMENT OF CHANGES IN EQUITY FOR THE PERIOD  ENDED 31 MARCH 2004</t>
  </si>
  <si>
    <t xml:space="preserve">fixed rate of 7.0% per annum, calculated on the notional principal of USD130,000,000 (RM494,000,000). </t>
  </si>
  <si>
    <t>respect of the 2002/2003 financial year, amounting to RM279.0 million.</t>
  </si>
  <si>
    <t>(2002/2003 : 15 sen) in respect of the 2003/2004 financial year, amounting to RM279.0 million.</t>
  </si>
  <si>
    <t>Foreign borrowings in Ringgit Malaysia equivalent as at 31 March 2004 are as follows :-</t>
  </si>
  <si>
    <t>During the current financial year the Corporation extended the estimate of useful life for amortisation of</t>
  </si>
  <si>
    <t>Taxation for the period comprises</t>
  </si>
  <si>
    <t>the following charge/(credit)</t>
  </si>
  <si>
    <t>reported in prior quarters of the current financial year or changes in estimates of amounts reported in prior</t>
  </si>
  <si>
    <t>financial years that have a material effect in the current quarter.</t>
  </si>
  <si>
    <t>With the exception of the change stated above, there were no other changes in estimates of amounts</t>
  </si>
  <si>
    <t xml:space="preserve">The figures have been audited. </t>
  </si>
  <si>
    <t>MASB 27 - "Borrowing Costs" and  MASB 29 - "Employee Benefits" in line with the requirements of the</t>
  </si>
  <si>
    <t>standards. The adoption of these standards has no material impact to the Group.</t>
  </si>
  <si>
    <t>On 18 December 2003, the Corporation entered into a sale and purchase agreement with Kuok Brothers</t>
  </si>
  <si>
    <t>During the current financial year ended 31 March 2004, the Company issued Islamic Private Debt</t>
  </si>
  <si>
    <t>year ended 31 March 2003: 1.4% per annum). These interest rate swap contracts expire in July 2005.</t>
  </si>
  <si>
    <t>The Group Profit Before Tax (PBT) for the fourth quarter was RM728.2 million or 93.1% higher than the</t>
  </si>
  <si>
    <t>The Group PBT was RM94.2 million or 14.9% higher than the preceding quarter due to continuing strong</t>
  </si>
  <si>
    <t xml:space="preserve">Except for Liquefied Natural Gas (LNG) transportation business, other businesses of the Group are </t>
  </si>
  <si>
    <t>goodwill and accretion of reserve on consolidation from 5 years to 20 years, or the shorter of estimated</t>
  </si>
  <si>
    <t>useful life of the goodwill/reserve.</t>
  </si>
  <si>
    <t>On 30 March 2004, The Corporation entered into a Memorandum of Agreement with Precious Shipping Public</t>
  </si>
  <si>
    <t>The amount used as numerator for the calculation of basic earnings per share is RM727,750,000</t>
  </si>
  <si>
    <t>for the fourth quarter ended 31 March 2004 and RM2,289,571,000 for the current financial year to</t>
  </si>
  <si>
    <t>Securities (PDS) Commercial Papers amounting to RM600 million and made repayments of RM1,100 million.</t>
  </si>
  <si>
    <t>corresponding quarter in the previous financial year. The better performance in all shipping segments was</t>
  </si>
  <si>
    <t>mainly due to higher freight rates and improved operating efficiency. The inclusion of the operating results</t>
  </si>
  <si>
    <t xml:space="preserve">of American Eagle Tankers Inc., Ltd. (AET) also contributed significantly to the Group's results. </t>
  </si>
  <si>
    <t>The prospects of the shipping industry remain positive. MISC’s existing long term charters and contracts of</t>
  </si>
  <si>
    <t>affreightment in the LNG and Petroleum businesses will also continue to provide the Group with strong and</t>
  </si>
  <si>
    <t xml:space="preserve">stable earnings. </t>
  </si>
  <si>
    <t>The Corporation has embarked on a fund raising exercise to refinance the bridging loan facility obtained to</t>
  </si>
  <si>
    <t xml:space="preserve">fund the acquisition of 100% interest in AET. The bridging facility matures on 14 July 2004. </t>
  </si>
  <si>
    <t>The estimated fair value of the interest rate swap contracts currently is USD8,124,503 (RM30,873,111)</t>
  </si>
  <si>
    <t>Company Limited for the enbloc disposal of 15 bulk vessels owned and operated by the Corporation and its</t>
  </si>
  <si>
    <t>subsidiary for a total consideration of USD98 million, resulting in a gain of approximately USD84 million . The</t>
  </si>
  <si>
    <t>disposal was completed on 13 May 2004.</t>
  </si>
  <si>
    <t>Sdn. Bhd. (MSEH), an associated company of the Corporation for a total consideration of RM115.2 million.</t>
  </si>
  <si>
    <t>freight rates. The contribution of profits from AET further enhanced the Group's results.</t>
  </si>
  <si>
    <t xml:space="preserve">Shares deposited into the Depositor's Securities Account before 12.30 pm on 15 August 2004 in </t>
  </si>
  <si>
    <t>Shares transferred into the Depositor's Securities Account before 4.00 pm on 17 August 2004</t>
  </si>
  <si>
    <t>The Board of Directors has recommended a final dividend of 15 sen per share, tax exempt (2002/2003: 15</t>
  </si>
  <si>
    <t>sen) in respect of the financial year ended 31 March 2004, amounting to RM279.0 million (2002/2003:</t>
  </si>
  <si>
    <t>RM279.0 million). The Board of Directors has also recommended a special dividend of 10 sen per share, tax</t>
  </si>
  <si>
    <t>exempt (2002/2003: NIL) in respect of the financial year ended 31 March 2004, amounting to RM186.0 million</t>
  </si>
  <si>
    <t xml:space="preserve">(2002/2003: NIL). </t>
  </si>
  <si>
    <t xml:space="preserve">Subject to approval at the forthcoming Annual General Meeting, the proposed dividends will be paid on </t>
  </si>
  <si>
    <t>30 August 2004 to shareholders registered at the close of business on 17 August 2004. The Register of</t>
  </si>
  <si>
    <t>Members will be closed from 15 August 2004 to 17 August 2004 (both dates inclusive) for the purpose</t>
  </si>
  <si>
    <t xml:space="preserve">respect of: </t>
  </si>
  <si>
    <t>Bursa Malaysia Securities Berhad (BMSB).</t>
  </si>
  <si>
    <t>Shares bought on the BMSB on a cum entitlement basis according to the rules of BMSB.</t>
  </si>
  <si>
    <t>of determining shareholders' entitlement to the dividends. A depositor shall qualify for entitlement only 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</si>
</sst>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_);[Red]\(#,##0.0\)"/>
    <numFmt numFmtId="178" formatCode="mmmm\-yy"/>
    <numFmt numFmtId="179" formatCode="_(* #,##0.0_);_(* \(#,##0.0\);_(* &quot;-&quot;?_);_(@_)"/>
    <numFmt numFmtId="180" formatCode="_(* #,##0.000_);_(* \(#,##0.000\);_(* &quot;-&quot;??_);_(@_)"/>
    <numFmt numFmtId="181" formatCode="_(* #,##0.0000_);_(* \(#,##0.0000\);_(* &quot;-&quot;??_);_(@_)"/>
    <numFmt numFmtId="182" formatCode="#,##0.00000_);[Red]\(#,##0.00000\)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0_);\(0\)"/>
    <numFmt numFmtId="187" formatCode="0.00000"/>
    <numFmt numFmtId="188" formatCode="0.0000"/>
    <numFmt numFmtId="189" formatCode="0.000"/>
    <numFmt numFmtId="190" formatCode="m/d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2" fontId="2" fillId="0" borderId="0" xfId="21" applyNumberFormat="1" applyFont="1" applyFill="1" applyBorder="1" applyAlignment="1">
      <alignment/>
    </xf>
    <xf numFmtId="172" fontId="2" fillId="0" borderId="0" xfId="21" applyNumberFormat="1" applyFont="1" applyFill="1" applyAlignment="1">
      <alignment/>
    </xf>
    <xf numFmtId="0" fontId="2" fillId="0" borderId="0" xfId="0" applyFont="1" applyFill="1" applyBorder="1" applyAlignment="1" quotePrefix="1">
      <alignment/>
    </xf>
    <xf numFmtId="175" fontId="2" fillId="0" borderId="0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2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3" fontId="2" fillId="0" borderId="0" xfId="21" applyNumberFormat="1" applyFont="1" applyFill="1" applyAlignment="1">
      <alignment/>
    </xf>
    <xf numFmtId="172" fontId="2" fillId="0" borderId="0" xfId="21" applyNumberFormat="1" applyFont="1" applyFill="1" applyAlignment="1">
      <alignment horizontal="right"/>
    </xf>
    <xf numFmtId="175" fontId="2" fillId="0" borderId="0" xfId="21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/>
    </xf>
    <xf numFmtId="38" fontId="2" fillId="0" borderId="1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17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38" fontId="2" fillId="2" borderId="0" xfId="0" applyNumberFormat="1" applyFont="1" applyFill="1" applyAlignment="1">
      <alignment/>
    </xf>
    <xf numFmtId="38" fontId="2" fillId="0" borderId="0" xfId="15" applyNumberFormat="1" applyFont="1" applyFill="1" applyBorder="1" applyAlignment="1">
      <alignment/>
    </xf>
    <xf numFmtId="38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38" fontId="2" fillId="2" borderId="2" xfId="0" applyNumberFormat="1" applyFont="1" applyFill="1" applyBorder="1" applyAlignment="1">
      <alignment horizontal="right"/>
    </xf>
    <xf numFmtId="38" fontId="2" fillId="2" borderId="0" xfId="15" applyNumberFormat="1" applyFont="1" applyFill="1" applyBorder="1" applyAlignment="1">
      <alignment/>
    </xf>
    <xf numFmtId="38" fontId="2" fillId="2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 quotePrefix="1">
      <alignment horizontal="right"/>
    </xf>
    <xf numFmtId="15" fontId="0" fillId="0" borderId="0" xfId="0" applyNumberFormat="1" applyFont="1" applyFill="1" applyAlignment="1" quotePrefix="1">
      <alignment horizontal="center"/>
    </xf>
    <xf numFmtId="15" fontId="0" fillId="0" borderId="0" xfId="0" applyNumberFormat="1" applyFont="1" applyFill="1" applyAlignment="1">
      <alignment horizontal="right"/>
    </xf>
    <xf numFmtId="4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0" fontId="2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 quotePrefix="1">
      <alignment horizontal="center"/>
    </xf>
    <xf numFmtId="0" fontId="2" fillId="3" borderId="0" xfId="0" applyFont="1" applyFill="1" applyAlignment="1" quotePrefix="1">
      <alignment horizontal="center"/>
    </xf>
    <xf numFmtId="172" fontId="2" fillId="0" borderId="0" xfId="15" applyNumberFormat="1" applyFont="1" applyAlignment="1">
      <alignment/>
    </xf>
    <xf numFmtId="172" fontId="2" fillId="3" borderId="0" xfId="15" applyNumberFormat="1" applyFont="1" applyFill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3" borderId="3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/>
    </xf>
    <xf numFmtId="172" fontId="2" fillId="0" borderId="0" xfId="15" applyNumberFormat="1" applyFont="1" applyAlignment="1">
      <alignment horizontal="left"/>
    </xf>
    <xf numFmtId="172" fontId="2" fillId="3" borderId="0" xfId="15" applyNumberFormat="1" applyFont="1" applyFill="1" applyAlignment="1">
      <alignment horizontal="left"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175" fontId="2" fillId="0" borderId="3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2" fontId="2" fillId="0" borderId="4" xfId="15" applyNumberFormat="1" applyFont="1" applyBorder="1" applyAlignment="1">
      <alignment/>
    </xf>
    <xf numFmtId="172" fontId="2" fillId="3" borderId="4" xfId="15" applyNumberFormat="1" applyFont="1" applyFill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3" borderId="1" xfId="15" applyNumberFormat="1" applyFont="1" applyFill="1" applyBorder="1" applyAlignment="1">
      <alignment/>
    </xf>
    <xf numFmtId="172" fontId="2" fillId="0" borderId="4" xfId="15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 quotePrefix="1">
      <alignment/>
    </xf>
    <xf numFmtId="38" fontId="2" fillId="0" borderId="4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2" fillId="0" borderId="5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185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5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175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190" fontId="0" fillId="0" borderId="0" xfId="0" applyNumberFormat="1" applyFont="1" applyFill="1" applyAlignment="1">
      <alignment horizontal="right"/>
    </xf>
    <xf numFmtId="38" fontId="2" fillId="0" borderId="6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8" fontId="2" fillId="0" borderId="7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21" applyNumberFormat="1" applyFont="1" applyFill="1" applyAlignment="1">
      <alignment horizontal="center"/>
    </xf>
    <xf numFmtId="172" fontId="2" fillId="0" borderId="3" xfId="21" applyNumberFormat="1" applyFont="1" applyFill="1" applyBorder="1" applyAlignment="1">
      <alignment horizontal="center"/>
    </xf>
    <xf numFmtId="172" fontId="2" fillId="0" borderId="4" xfId="21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0" xfId="21" applyNumberFormat="1" applyFont="1" applyFill="1" applyBorder="1" applyAlignment="1">
      <alignment/>
    </xf>
    <xf numFmtId="41" fontId="2" fillId="0" borderId="4" xfId="2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172" fontId="2" fillId="0" borderId="6" xfId="21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38" fontId="2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175" fontId="2" fillId="0" borderId="6" xfId="15" applyNumberFormat="1" applyFont="1" applyBorder="1" applyAlignment="1">
      <alignment/>
    </xf>
    <xf numFmtId="175" fontId="2" fillId="0" borderId="6" xfId="15" applyNumberFormat="1" applyFont="1" applyFill="1" applyBorder="1" applyAlignment="1">
      <alignment/>
    </xf>
    <xf numFmtId="175" fontId="2" fillId="0" borderId="1" xfId="15" applyNumberFormat="1" applyFont="1" applyBorder="1" applyAlignment="1">
      <alignment/>
    </xf>
    <xf numFmtId="172" fontId="2" fillId="0" borderId="1" xfId="21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175" fontId="2" fillId="0" borderId="1" xfId="15" applyNumberFormat="1" applyFont="1" applyFill="1" applyBorder="1" applyAlignment="1">
      <alignment/>
    </xf>
    <xf numFmtId="38" fontId="2" fillId="0" borderId="6" xfId="0" applyNumberFormat="1" applyFont="1" applyBorder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18">
    <cellStyle name="Normal" xfId="0"/>
    <cellStyle name="Comma" xfId="15"/>
    <cellStyle name="Comma [0]" xfId="16"/>
    <cellStyle name="Comma [0]_DEC00KLSE" xfId="17"/>
    <cellStyle name="Comma [0]_MAR01KLSENOTES-BOD" xfId="18"/>
    <cellStyle name="Comma [0]_SEPT00KLSECOS" xfId="19"/>
    <cellStyle name="Comma_DEC00KLSE" xfId="20"/>
    <cellStyle name="Comma_MAR01KLSENOTES-BOD" xfId="21"/>
    <cellStyle name="Comma_SEPT00KLSECOS" xfId="22"/>
    <cellStyle name="Currency" xfId="23"/>
    <cellStyle name="Currency [0]" xfId="24"/>
    <cellStyle name="Currency [0]_DEC00KLSE" xfId="25"/>
    <cellStyle name="Currency [0]_MAR01KLSENOTES-BOD" xfId="26"/>
    <cellStyle name="Currency [0]_SEPT00KLSECOS" xfId="27"/>
    <cellStyle name="Currency_DEC00KLSE" xfId="28"/>
    <cellStyle name="Currency_MAR01KLSENOTES-BOD" xfId="29"/>
    <cellStyle name="Currency_SEPT00KLSECO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819150</xdr:colOff>
      <xdr:row>0</xdr:row>
      <xdr:rowOff>85725</xdr:rowOff>
    </xdr:from>
    <xdr:to>
      <xdr:col>10</xdr:col>
      <xdr:colOff>1152525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04775"/>
          <a:ext cx="1876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10</xdr:col>
      <xdr:colOff>57150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238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152400</xdr:rowOff>
    </xdr:from>
    <xdr:to>
      <xdr:col>15</xdr:col>
      <xdr:colOff>923925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2400"/>
          <a:ext cx="2057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57150</xdr:rowOff>
    </xdr:from>
    <xdr:to>
      <xdr:col>6</xdr:col>
      <xdr:colOff>628650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114300</xdr:rowOff>
    </xdr:from>
    <xdr:to>
      <xdr:col>13</xdr:col>
      <xdr:colOff>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1430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2</xdr:row>
      <xdr:rowOff>47625</xdr:rowOff>
    </xdr:from>
    <xdr:to>
      <xdr:col>14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00050"/>
          <a:ext cx="1981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tabSelected="1" view="pageBreakPreview" zoomScale="75" zoomScaleNormal="75" zoomScaleSheetLayoutView="75" workbookViewId="0" topLeftCell="A1">
      <selection activeCell="E6" sqref="E6"/>
    </sheetView>
  </sheetViews>
  <sheetFormatPr defaultColWidth="9.140625" defaultRowHeight="12.75"/>
  <cols>
    <col min="1" max="1" width="3.00390625" style="29" customWidth="1"/>
    <col min="2" max="2" width="37.57421875" style="29" customWidth="1"/>
    <col min="3" max="3" width="0.13671875" style="35" hidden="1" customWidth="1"/>
    <col min="4" max="4" width="1.28515625" style="4" customWidth="1"/>
    <col min="5" max="5" width="17.28125" style="4" customWidth="1"/>
    <col min="6" max="6" width="6.28125" style="4" customWidth="1"/>
    <col min="7" max="7" width="17.28125" style="4" customWidth="1"/>
    <col min="8" max="8" width="2.7109375" style="4" customWidth="1"/>
    <col min="9" max="9" width="17.28125" style="4" customWidth="1"/>
    <col min="10" max="10" width="5.8515625" style="4" customWidth="1"/>
    <col min="11" max="11" width="17.28125" style="4" customWidth="1"/>
    <col min="12" max="12" width="9.140625" style="29" customWidth="1"/>
    <col min="13" max="13" width="12.140625" style="29" bestFit="1" customWidth="1"/>
    <col min="14" max="16384" width="9.140625" style="29" customWidth="1"/>
  </cols>
  <sheetData>
    <row r="2" ht="15.75">
      <c r="A2" s="30" t="s">
        <v>156</v>
      </c>
    </row>
    <row r="3" ht="15">
      <c r="A3" s="56" t="s">
        <v>157</v>
      </c>
    </row>
    <row r="6" spans="3:11" ht="15.75">
      <c r="C6" s="4"/>
      <c r="E6" s="5"/>
      <c r="I6" s="29"/>
      <c r="K6" s="22" t="s">
        <v>208</v>
      </c>
    </row>
    <row r="7" spans="1:11" ht="15.75">
      <c r="A7" s="30" t="s">
        <v>213</v>
      </c>
      <c r="C7" s="29"/>
      <c r="I7" s="29"/>
      <c r="K7" s="29"/>
    </row>
    <row r="8" ht="9" customHeight="1">
      <c r="C8" s="29"/>
    </row>
    <row r="9" spans="1:3" ht="15">
      <c r="A9" s="29" t="s">
        <v>249</v>
      </c>
      <c r="C9" s="29"/>
    </row>
    <row r="10" spans="1:3" ht="15">
      <c r="A10" s="4" t="s">
        <v>288</v>
      </c>
      <c r="C10" s="4"/>
    </row>
    <row r="11" ht="9" customHeight="1">
      <c r="C11" s="29"/>
    </row>
    <row r="12" spans="1:3" ht="15.75">
      <c r="A12" s="30" t="s">
        <v>252</v>
      </c>
      <c r="C12" s="29"/>
    </row>
    <row r="13" spans="3:10" ht="9.75" customHeight="1">
      <c r="C13" s="4" t="s">
        <v>0</v>
      </c>
      <c r="E13" s="19"/>
      <c r="F13" s="31"/>
      <c r="I13" s="19"/>
      <c r="J13" s="31"/>
    </row>
    <row r="14" spans="3:11" ht="9.75" customHeight="1">
      <c r="C14" s="4"/>
      <c r="E14" s="19"/>
      <c r="F14" s="31"/>
      <c r="G14" s="19"/>
      <c r="I14" s="19"/>
      <c r="J14" s="19"/>
      <c r="K14" s="19"/>
    </row>
    <row r="15" spans="3:11" ht="21.75" customHeight="1">
      <c r="C15" s="32" t="s">
        <v>1</v>
      </c>
      <c r="D15" s="5"/>
      <c r="E15" s="154" t="s">
        <v>2</v>
      </c>
      <c r="F15" s="154"/>
      <c r="G15" s="154"/>
      <c r="H15" s="3"/>
      <c r="I15" s="155" t="s">
        <v>3</v>
      </c>
      <c r="J15" s="155"/>
      <c r="K15" s="155"/>
    </row>
    <row r="16" spans="3:11" ht="15.75">
      <c r="C16" s="32" t="s">
        <v>4</v>
      </c>
      <c r="D16" s="19"/>
      <c r="E16" s="49" t="s">
        <v>5</v>
      </c>
      <c r="F16" s="48"/>
      <c r="G16" s="49" t="s">
        <v>6</v>
      </c>
      <c r="H16" s="48"/>
      <c r="I16" s="49" t="s">
        <v>5</v>
      </c>
      <c r="J16" s="49"/>
      <c r="K16" s="49" t="str">
        <f>'Cash Flow'!F11</f>
        <v>PRECEDING</v>
      </c>
    </row>
    <row r="17" spans="2:11" ht="15.75">
      <c r="B17" s="111"/>
      <c r="C17" s="32" t="s">
        <v>7</v>
      </c>
      <c r="D17" s="19"/>
      <c r="E17" s="49" t="s">
        <v>7</v>
      </c>
      <c r="F17" s="48"/>
      <c r="G17" s="49" t="s">
        <v>8</v>
      </c>
      <c r="H17" s="48"/>
      <c r="I17" s="49" t="s">
        <v>7</v>
      </c>
      <c r="J17" s="49"/>
      <c r="K17" s="49" t="str">
        <f>'Cash Flow'!F12</f>
        <v>YEAR</v>
      </c>
    </row>
    <row r="18" spans="3:11" ht="15.75">
      <c r="C18" s="32" t="s">
        <v>9</v>
      </c>
      <c r="D18" s="19"/>
      <c r="E18" s="49" t="s">
        <v>10</v>
      </c>
      <c r="F18" s="48"/>
      <c r="G18" s="49" t="s">
        <v>10</v>
      </c>
      <c r="H18" s="2"/>
      <c r="I18" s="49" t="s">
        <v>11</v>
      </c>
      <c r="J18" s="49"/>
      <c r="K18" s="49" t="str">
        <f>'Cash Flow'!F13</f>
        <v>TO DATE</v>
      </c>
    </row>
    <row r="19" spans="3:11" ht="15.75">
      <c r="C19" s="33">
        <v>36341</v>
      </c>
      <c r="D19" s="34"/>
      <c r="E19" s="50" t="s">
        <v>248</v>
      </c>
      <c r="F19" s="51"/>
      <c r="G19" s="50" t="s">
        <v>253</v>
      </c>
      <c r="H19" s="51"/>
      <c r="I19" s="50" t="str">
        <f>+E19</f>
        <v>31 MAR 2004</v>
      </c>
      <c r="J19" s="50"/>
      <c r="K19" s="52" t="str">
        <f>G19</f>
        <v>31 MAR 2003</v>
      </c>
    </row>
    <row r="20" spans="5:11" ht="15">
      <c r="E20" s="49" t="s">
        <v>14</v>
      </c>
      <c r="F20" s="48"/>
      <c r="G20" s="49" t="s">
        <v>14</v>
      </c>
      <c r="H20" s="48"/>
      <c r="I20" s="49" t="s">
        <v>14</v>
      </c>
      <c r="J20" s="49"/>
      <c r="K20" s="49" t="s">
        <v>14</v>
      </c>
    </row>
    <row r="21" spans="9:11" ht="15.75">
      <c r="I21" s="113"/>
      <c r="K21" s="113"/>
    </row>
    <row r="22" spans="2:13" ht="15">
      <c r="B22" s="29" t="s">
        <v>47</v>
      </c>
      <c r="C22" s="36">
        <v>2483714</v>
      </c>
      <c r="E22" s="94">
        <f>I22-5315172</f>
        <v>2291099</v>
      </c>
      <c r="F22" s="94"/>
      <c r="G22" s="37">
        <f>5432996-4045222</f>
        <v>1387774</v>
      </c>
      <c r="H22" s="94"/>
      <c r="I22" s="94">
        <v>7606271</v>
      </c>
      <c r="J22" s="94"/>
      <c r="K22" s="37">
        <v>5432996</v>
      </c>
      <c r="M22" s="112"/>
    </row>
    <row r="23" spans="3:13" ht="15">
      <c r="C23" s="36"/>
      <c r="E23" s="96"/>
      <c r="F23" s="96"/>
      <c r="G23" s="38"/>
      <c r="H23" s="94"/>
      <c r="I23" s="96"/>
      <c r="J23" s="96"/>
      <c r="K23" s="38"/>
      <c r="M23" s="112"/>
    </row>
    <row r="24" spans="2:13" ht="15.75" thickBot="1">
      <c r="B24" s="39" t="s">
        <v>93</v>
      </c>
      <c r="C24" s="40">
        <v>26479</v>
      </c>
      <c r="D24" s="28"/>
      <c r="E24" s="134">
        <f>I24-49857</f>
        <v>13837</v>
      </c>
      <c r="F24" s="94"/>
      <c r="G24" s="149">
        <f>60749-48806</f>
        <v>11943</v>
      </c>
      <c r="H24" s="94"/>
      <c r="I24" s="134">
        <v>63694</v>
      </c>
      <c r="J24" s="94"/>
      <c r="K24" s="149">
        <v>60749</v>
      </c>
      <c r="M24" s="112"/>
    </row>
    <row r="25" spans="3:13" ht="15.75" thickTop="1">
      <c r="C25" s="36"/>
      <c r="E25" s="96"/>
      <c r="F25" s="96"/>
      <c r="G25" s="38"/>
      <c r="H25" s="94"/>
      <c r="I25" s="96"/>
      <c r="J25" s="96"/>
      <c r="K25" s="38"/>
      <c r="M25" s="112"/>
    </row>
    <row r="26" spans="2:13" ht="15">
      <c r="B26" s="29" t="s">
        <v>146</v>
      </c>
      <c r="C26" s="36">
        <v>1285826</v>
      </c>
      <c r="E26" s="122">
        <f>I26-1729607</f>
        <v>779813</v>
      </c>
      <c r="F26" s="94"/>
      <c r="G26" s="37">
        <f>1439518-1019514</f>
        <v>420004</v>
      </c>
      <c r="H26" s="131"/>
      <c r="I26" s="122">
        <v>2509420</v>
      </c>
      <c r="J26" s="96"/>
      <c r="K26" s="23">
        <v>1439518</v>
      </c>
      <c r="M26" s="112"/>
    </row>
    <row r="27" spans="3:13" ht="15">
      <c r="C27" s="36"/>
      <c r="E27" s="96"/>
      <c r="F27" s="96"/>
      <c r="G27" s="38"/>
      <c r="H27" s="94"/>
      <c r="I27" s="96"/>
      <c r="J27" s="96"/>
      <c r="K27" s="38"/>
      <c r="M27" s="112"/>
    </row>
    <row r="28" spans="3:13" ht="15">
      <c r="C28" s="36"/>
      <c r="E28" s="96"/>
      <c r="F28" s="96"/>
      <c r="G28" s="38"/>
      <c r="H28" s="94"/>
      <c r="I28" s="96"/>
      <c r="J28" s="96"/>
      <c r="K28" s="38"/>
      <c r="M28" s="112"/>
    </row>
    <row r="29" spans="3:13" ht="15">
      <c r="C29" s="36"/>
      <c r="E29" s="96"/>
      <c r="F29" s="96"/>
      <c r="G29" s="38"/>
      <c r="H29" s="94"/>
      <c r="I29" s="96"/>
      <c r="J29" s="96"/>
      <c r="K29" s="38"/>
      <c r="M29" s="112"/>
    </row>
    <row r="30" spans="2:13" ht="15">
      <c r="B30" s="29" t="s">
        <v>48</v>
      </c>
      <c r="C30" s="36">
        <v>-210063</v>
      </c>
      <c r="E30" s="96">
        <f>I30--155340</f>
        <v>-55153</v>
      </c>
      <c r="F30" s="94"/>
      <c r="G30" s="37">
        <f>-169581+124987</f>
        <v>-44594</v>
      </c>
      <c r="H30" s="94"/>
      <c r="I30" s="96">
        <v>-210493</v>
      </c>
      <c r="J30" s="96"/>
      <c r="K30" s="38">
        <v>-169581</v>
      </c>
      <c r="M30" s="112"/>
    </row>
    <row r="31" spans="3:13" ht="15">
      <c r="C31" s="36"/>
      <c r="E31" s="96"/>
      <c r="F31" s="96"/>
      <c r="G31" s="38"/>
      <c r="H31" s="94"/>
      <c r="I31" s="96"/>
      <c r="J31" s="96"/>
      <c r="K31" s="38"/>
      <c r="M31" s="112"/>
    </row>
    <row r="32" spans="2:13" ht="15">
      <c r="B32" s="29" t="s">
        <v>147</v>
      </c>
      <c r="C32" s="36">
        <v>-552701</v>
      </c>
      <c r="E32" s="96"/>
      <c r="F32" s="96"/>
      <c r="G32" s="38"/>
      <c r="H32" s="94"/>
      <c r="I32" s="96"/>
      <c r="J32" s="96"/>
      <c r="K32" s="38"/>
      <c r="M32" s="112"/>
    </row>
    <row r="33" spans="2:13" ht="15">
      <c r="B33" s="29" t="s">
        <v>15</v>
      </c>
      <c r="C33" s="36"/>
      <c r="E33" s="129">
        <f>I33-23977</f>
        <v>3500</v>
      </c>
      <c r="F33" s="94"/>
      <c r="G33" s="150">
        <f>40363-38618</f>
        <v>1745</v>
      </c>
      <c r="H33" s="94"/>
      <c r="I33" s="129">
        <v>27477</v>
      </c>
      <c r="J33" s="96"/>
      <c r="K33" s="150">
        <v>40363</v>
      </c>
      <c r="M33" s="112"/>
    </row>
    <row r="34" spans="3:13" ht="15">
      <c r="C34" s="36"/>
      <c r="E34" s="96"/>
      <c r="F34" s="96"/>
      <c r="G34" s="38"/>
      <c r="H34" s="94"/>
      <c r="I34" s="96"/>
      <c r="J34" s="96"/>
      <c r="K34" s="38"/>
      <c r="M34" s="112"/>
    </row>
    <row r="35" spans="2:13" ht="15">
      <c r="B35" s="29" t="s">
        <v>148</v>
      </c>
      <c r="C35" s="41">
        <f>SUM(C26:C33)</f>
        <v>523062</v>
      </c>
      <c r="E35" s="94">
        <f>SUM(E26:E33)</f>
        <v>728160</v>
      </c>
      <c r="F35" s="94"/>
      <c r="G35" s="37">
        <f>SUM(G26:G33)</f>
        <v>377155</v>
      </c>
      <c r="H35" s="94"/>
      <c r="I35" s="94">
        <f>SUM(I26:I33)</f>
        <v>2326404</v>
      </c>
      <c r="J35" s="96"/>
      <c r="K35" s="37">
        <f>SUM(K26:K33)</f>
        <v>1310300</v>
      </c>
      <c r="M35" s="112"/>
    </row>
    <row r="36" spans="3:13" ht="15">
      <c r="C36" s="36"/>
      <c r="E36" s="96"/>
      <c r="F36" s="96"/>
      <c r="G36" s="38"/>
      <c r="H36" s="94"/>
      <c r="I36" s="96"/>
      <c r="J36" s="96"/>
      <c r="K36" s="38"/>
      <c r="M36" s="112"/>
    </row>
    <row r="37" spans="2:13" ht="15">
      <c r="B37" s="29" t="s">
        <v>94</v>
      </c>
      <c r="C37" s="36"/>
      <c r="E37" s="132">
        <f>I37-(-8251-3379)</f>
        <v>4503</v>
      </c>
      <c r="F37" s="94"/>
      <c r="G37" s="150">
        <f>3507+10215</f>
        <v>13722</v>
      </c>
      <c r="H37" s="131"/>
      <c r="I37" s="132">
        <f>-4222-2905</f>
        <v>-7127</v>
      </c>
      <c r="J37" s="96"/>
      <c r="K37" s="25">
        <v>3507</v>
      </c>
      <c r="M37" s="112"/>
    </row>
    <row r="38" spans="3:13" ht="15">
      <c r="C38" s="36"/>
      <c r="E38" s="96"/>
      <c r="F38" s="96"/>
      <c r="G38" s="38"/>
      <c r="H38" s="94"/>
      <c r="I38" s="96"/>
      <c r="J38" s="96"/>
      <c r="K38" s="38"/>
      <c r="M38" s="112"/>
    </row>
    <row r="39" spans="2:13" ht="15">
      <c r="B39" s="29" t="s">
        <v>149</v>
      </c>
      <c r="C39" s="42" t="e">
        <f>SUM(C35+#REF!)</f>
        <v>#REF!</v>
      </c>
      <c r="E39" s="96">
        <f>SUM(E35:E37)</f>
        <v>732663</v>
      </c>
      <c r="F39" s="96"/>
      <c r="G39" s="38">
        <f>SUM(G35:G37)</f>
        <v>390877</v>
      </c>
      <c r="H39" s="94"/>
      <c r="I39" s="96">
        <f>SUM(I35:I37)</f>
        <v>2319277</v>
      </c>
      <c r="J39" s="96"/>
      <c r="K39" s="38">
        <f>SUM(K35:K37)</f>
        <v>1313807</v>
      </c>
      <c r="M39" s="112"/>
    </row>
    <row r="40" spans="3:13" ht="15">
      <c r="C40" s="36"/>
      <c r="E40" s="122"/>
      <c r="F40" s="122"/>
      <c r="G40" s="23"/>
      <c r="H40" s="131"/>
      <c r="I40" s="122"/>
      <c r="J40" s="96"/>
      <c r="K40" s="23"/>
      <c r="M40" s="112"/>
    </row>
    <row r="41" spans="2:13" ht="15">
      <c r="B41" s="29" t="s">
        <v>150</v>
      </c>
      <c r="C41" s="36"/>
      <c r="E41" s="129">
        <f>I41--24793</f>
        <v>-4913</v>
      </c>
      <c r="F41" s="94"/>
      <c r="G41" s="150">
        <f>-3144+12129</f>
        <v>8985</v>
      </c>
      <c r="H41" s="94"/>
      <c r="I41" s="129">
        <v>-29706</v>
      </c>
      <c r="J41" s="96"/>
      <c r="K41" s="150">
        <v>-3144</v>
      </c>
      <c r="M41" s="112"/>
    </row>
    <row r="42" spans="3:13" ht="15">
      <c r="C42" s="36"/>
      <c r="E42" s="96"/>
      <c r="F42" s="96"/>
      <c r="G42" s="38"/>
      <c r="H42" s="94"/>
      <c r="I42" s="96"/>
      <c r="J42" s="96"/>
      <c r="K42" s="38"/>
      <c r="M42" s="112"/>
    </row>
    <row r="43" spans="2:13" ht="15.75" thickBot="1">
      <c r="B43" s="29" t="s">
        <v>151</v>
      </c>
      <c r="C43" s="42" t="e">
        <f>SUM(C39:C42)</f>
        <v>#REF!</v>
      </c>
      <c r="E43" s="134">
        <f>SUM(E39:E41)</f>
        <v>727750</v>
      </c>
      <c r="F43" s="96"/>
      <c r="G43" s="149">
        <f>SUM(G39:G41)</f>
        <v>399862</v>
      </c>
      <c r="H43" s="94"/>
      <c r="I43" s="134">
        <f>SUM(I39:I41)</f>
        <v>2289571</v>
      </c>
      <c r="J43" s="96"/>
      <c r="K43" s="149">
        <f>SUM(K39:K41)</f>
        <v>1310663</v>
      </c>
      <c r="M43" s="112"/>
    </row>
    <row r="44" spans="2:10" ht="15.75" thickTop="1">
      <c r="B44" s="29" t="s">
        <v>152</v>
      </c>
      <c r="C44" s="36"/>
      <c r="E44" s="23"/>
      <c r="F44" s="23"/>
      <c r="H44" s="26"/>
      <c r="I44" s="23"/>
      <c r="J44" s="38"/>
    </row>
    <row r="45" spans="3:10" ht="15">
      <c r="C45" s="36"/>
      <c r="E45" s="38"/>
      <c r="F45" s="38"/>
      <c r="H45" s="37"/>
      <c r="I45" s="38"/>
      <c r="J45" s="38"/>
    </row>
    <row r="46" spans="2:11" ht="15">
      <c r="B46" s="29" t="s">
        <v>153</v>
      </c>
      <c r="C46" s="36"/>
      <c r="E46" s="43"/>
      <c r="F46" s="43"/>
      <c r="G46" s="43"/>
      <c r="H46" s="44"/>
      <c r="I46" s="43"/>
      <c r="J46" s="43"/>
      <c r="K46" s="43"/>
    </row>
    <row r="47" spans="2:11" ht="15">
      <c r="B47" s="29" t="s">
        <v>154</v>
      </c>
      <c r="C47" s="36"/>
      <c r="E47" s="43"/>
      <c r="F47" s="43"/>
      <c r="G47" s="43"/>
      <c r="H47" s="44"/>
      <c r="I47" s="53"/>
      <c r="J47" s="43"/>
      <c r="K47" s="43"/>
    </row>
    <row r="48" spans="3:8" ht="15">
      <c r="C48" s="36"/>
      <c r="H48" s="6"/>
    </row>
    <row r="49" spans="2:8" ht="15">
      <c r="B49" s="29" t="s">
        <v>16</v>
      </c>
      <c r="C49" s="36"/>
      <c r="H49" s="6"/>
    </row>
    <row r="50" spans="2:11" ht="15">
      <c r="B50" s="29" t="s">
        <v>17</v>
      </c>
      <c r="C50" s="36"/>
      <c r="E50" s="54">
        <f>(E43/1859913.793)*100</f>
        <v>39.12815759197932</v>
      </c>
      <c r="F50" s="45"/>
      <c r="G50" s="54">
        <f>(G43/1859913.793)*100</f>
        <v>21.498953419503998</v>
      </c>
      <c r="H50" s="46"/>
      <c r="I50" s="54">
        <f>(I43/1859913.793)*100</f>
        <v>123.10092051669623</v>
      </c>
      <c r="J50" s="45"/>
      <c r="K50" s="54">
        <f>(K43/1859913.793)*100</f>
        <v>70.46901877564602</v>
      </c>
    </row>
    <row r="51" spans="3:8" ht="15">
      <c r="C51" s="36"/>
      <c r="H51" s="6"/>
    </row>
    <row r="52" spans="3:11" ht="6.75" customHeight="1" hidden="1">
      <c r="C52" s="36"/>
      <c r="E52" s="8"/>
      <c r="F52" s="8"/>
      <c r="G52" s="8"/>
      <c r="H52" s="47"/>
      <c r="I52" s="8"/>
      <c r="J52" s="8"/>
      <c r="K52" s="15"/>
    </row>
    <row r="53" ht="6.75" customHeight="1">
      <c r="H53" s="6"/>
    </row>
    <row r="54" spans="2:11" ht="15">
      <c r="B54" s="29" t="s">
        <v>155</v>
      </c>
      <c r="C54" s="36"/>
      <c r="E54" s="54"/>
      <c r="F54" s="45"/>
      <c r="G54" s="54"/>
      <c r="H54" s="46"/>
      <c r="I54" s="54"/>
      <c r="J54" s="45"/>
      <c r="K54" s="54"/>
    </row>
    <row r="55" spans="2:11" ht="15">
      <c r="B55" s="29" t="s">
        <v>17</v>
      </c>
      <c r="C55" s="36"/>
      <c r="E55" s="54">
        <f>E50</f>
        <v>39.12815759197932</v>
      </c>
      <c r="F55" s="45"/>
      <c r="G55" s="54">
        <f>G50</f>
        <v>21.498953419503998</v>
      </c>
      <c r="H55" s="46"/>
      <c r="I55" s="54">
        <f>I50</f>
        <v>123.10092051669623</v>
      </c>
      <c r="J55" s="45"/>
      <c r="K55" s="54">
        <f>K50</f>
        <v>70.46901877564602</v>
      </c>
    </row>
    <row r="56" spans="5:11" ht="15">
      <c r="E56" s="43"/>
      <c r="F56" s="43"/>
      <c r="G56" s="43"/>
      <c r="H56" s="43"/>
      <c r="I56" s="43"/>
      <c r="J56" s="43"/>
      <c r="K56" s="43"/>
    </row>
    <row r="57" spans="5:11" ht="15">
      <c r="E57" s="43"/>
      <c r="F57" s="43"/>
      <c r="G57" s="43"/>
      <c r="H57" s="43"/>
      <c r="I57" s="43"/>
      <c r="J57" s="43"/>
      <c r="K57" s="43"/>
    </row>
    <row r="58" spans="5:11" ht="15">
      <c r="E58" s="43"/>
      <c r="F58" s="43"/>
      <c r="G58" s="43"/>
      <c r="H58" s="43"/>
      <c r="I58" s="43"/>
      <c r="J58" s="43"/>
      <c r="K58" s="43"/>
    </row>
    <row r="59" spans="5:11" ht="15">
      <c r="E59" s="43"/>
      <c r="F59" s="43"/>
      <c r="G59" s="43"/>
      <c r="H59" s="43"/>
      <c r="I59" s="43"/>
      <c r="J59" s="43"/>
      <c r="K59" s="43"/>
    </row>
    <row r="60" spans="5:11" ht="15">
      <c r="E60" s="43"/>
      <c r="F60" s="43"/>
      <c r="G60" s="43"/>
      <c r="H60" s="43"/>
      <c r="I60" s="43"/>
      <c r="J60" s="43"/>
      <c r="K60" s="43"/>
    </row>
    <row r="61" spans="5:11" ht="15">
      <c r="E61" s="43"/>
      <c r="F61" s="43"/>
      <c r="G61" s="43"/>
      <c r="H61" s="43"/>
      <c r="I61" s="43"/>
      <c r="J61" s="43"/>
      <c r="K61" s="43"/>
    </row>
    <row r="62" spans="5:11" ht="15">
      <c r="E62" s="43"/>
      <c r="F62" s="43"/>
      <c r="G62" s="43"/>
      <c r="H62" s="43"/>
      <c r="I62" s="43"/>
      <c r="J62" s="43"/>
      <c r="K62" s="43"/>
    </row>
    <row r="63" spans="5:11" ht="15">
      <c r="E63" s="43"/>
      <c r="F63" s="43"/>
      <c r="G63" s="43"/>
      <c r="H63" s="43"/>
      <c r="I63" s="43"/>
      <c r="J63" s="43"/>
      <c r="K63" s="43"/>
    </row>
    <row r="64" spans="5:11" ht="15">
      <c r="E64" s="43"/>
      <c r="F64" s="43"/>
      <c r="G64" s="43"/>
      <c r="H64" s="43"/>
      <c r="I64" s="43"/>
      <c r="J64" s="43"/>
      <c r="K64" s="43"/>
    </row>
    <row r="84" ht="15">
      <c r="B84" s="29" t="s">
        <v>218</v>
      </c>
    </row>
  </sheetData>
  <sheetProtection password="C724" sheet="1" objects="1" scenarios="1"/>
  <mergeCells count="2">
    <mergeCell ref="E15:G15"/>
    <mergeCell ref="I15:K15"/>
  </mergeCells>
  <printOptions/>
  <pageMargins left="0.681102362" right="0.41" top="0.708661417" bottom="1.15" header="0.511811023622047" footer="0.7"/>
  <pageSetup cellComments="asDisplayed" horizontalDpi="600" verticalDpi="600" orientation="portrait" paperSize="9" scale="70" r:id="rId2"/>
  <headerFooter alignWithMargins="0">
    <oddFooter>&amp;C&amp;12(The Condensed Consolidated Income Statement should be read in conjunction with the Annual Financial Statements
for the year ended 31 March 2003)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5" zoomScaleNormal="70" zoomScaleSheetLayoutView="65" workbookViewId="0" topLeftCell="A1">
      <selection activeCell="B61" sqref="B61"/>
    </sheetView>
  </sheetViews>
  <sheetFormatPr defaultColWidth="7.8515625" defaultRowHeight="12.75"/>
  <cols>
    <col min="1" max="1" width="3.00390625" style="29" customWidth="1"/>
    <col min="2" max="2" width="3.140625" style="29" customWidth="1"/>
    <col min="3" max="3" width="50.00390625" style="29" customWidth="1"/>
    <col min="4" max="4" width="19.28125" style="4" customWidth="1"/>
    <col min="5" max="5" width="5.7109375" style="29" customWidth="1"/>
    <col min="6" max="6" width="19.28125" style="29" customWidth="1"/>
    <col min="7" max="7" width="4.00390625" style="29" customWidth="1"/>
    <col min="8" max="8" width="14.140625" style="29" hidden="1" customWidth="1"/>
    <col min="9" max="9" width="4.140625" style="29" hidden="1" customWidth="1"/>
    <col min="10" max="10" width="14.140625" style="55" hidden="1" customWidth="1"/>
    <col min="11" max="11" width="0.85546875" style="55" hidden="1" customWidth="1"/>
    <col min="12" max="12" width="14.140625" style="55" hidden="1" customWidth="1"/>
    <col min="13" max="14" width="0" style="29" hidden="1" customWidth="1"/>
    <col min="15" max="15" width="13.00390625" style="29" customWidth="1"/>
    <col min="16" max="16" width="14.28125" style="29" customWidth="1"/>
    <col min="17" max="17" width="10.00390625" style="29" bestFit="1" customWidth="1"/>
    <col min="18" max="16384" width="7.8515625" style="29" customWidth="1"/>
  </cols>
  <sheetData>
    <row r="1" ht="15">
      <c r="C1" s="4"/>
    </row>
    <row r="2" spans="1:12" ht="15.75">
      <c r="A2" s="30" t="s">
        <v>156</v>
      </c>
      <c r="C2" s="4"/>
      <c r="E2" s="4"/>
      <c r="F2" s="4"/>
      <c r="G2" s="4"/>
      <c r="H2" s="4"/>
      <c r="I2" s="4"/>
      <c r="J2" s="4"/>
      <c r="K2" s="4"/>
      <c r="L2" s="29"/>
    </row>
    <row r="3" spans="1:12" ht="15">
      <c r="A3" s="56" t="s">
        <v>157</v>
      </c>
      <c r="C3" s="4"/>
      <c r="E3" s="4"/>
      <c r="F3" s="4"/>
      <c r="G3" s="4"/>
      <c r="H3" s="4"/>
      <c r="I3" s="4"/>
      <c r="J3" s="4"/>
      <c r="K3" s="4"/>
      <c r="L3" s="29"/>
    </row>
    <row r="4" spans="3:12" ht="15">
      <c r="C4" s="4"/>
      <c r="E4" s="4"/>
      <c r="F4" s="4"/>
      <c r="G4" s="4"/>
      <c r="H4" s="4"/>
      <c r="I4" s="4"/>
      <c r="J4" s="4"/>
      <c r="K4" s="4"/>
      <c r="L4" s="29"/>
    </row>
    <row r="5" spans="3:12" ht="15">
      <c r="C5" s="4"/>
      <c r="E5" s="4"/>
      <c r="F5" s="4"/>
      <c r="G5" s="4"/>
      <c r="H5" s="4"/>
      <c r="I5" s="4"/>
      <c r="J5" s="4"/>
      <c r="K5" s="4"/>
      <c r="L5" s="29"/>
    </row>
    <row r="6" ht="15">
      <c r="P6" s="22" t="s">
        <v>158</v>
      </c>
    </row>
    <row r="7" ht="15.75">
      <c r="A7" s="30" t="s">
        <v>250</v>
      </c>
    </row>
    <row r="8" ht="15.75">
      <c r="A8" s="30"/>
    </row>
    <row r="9" spans="4:8" ht="15">
      <c r="D9" s="49" t="s">
        <v>18</v>
      </c>
      <c r="E9" s="1"/>
      <c r="F9" s="49" t="s">
        <v>18</v>
      </c>
      <c r="H9" s="57" t="s">
        <v>18</v>
      </c>
    </row>
    <row r="10" spans="4:12" ht="15">
      <c r="D10" s="49" t="s">
        <v>19</v>
      </c>
      <c r="E10" s="1"/>
      <c r="F10" s="49" t="s">
        <v>20</v>
      </c>
      <c r="G10" s="57"/>
      <c r="H10" s="57" t="s">
        <v>20</v>
      </c>
      <c r="I10" s="57"/>
      <c r="J10" s="58" t="s">
        <v>18</v>
      </c>
      <c r="K10" s="58"/>
      <c r="L10" s="58" t="s">
        <v>21</v>
      </c>
    </row>
    <row r="11" spans="4:12" ht="15">
      <c r="D11" s="49" t="s">
        <v>5</v>
      </c>
      <c r="E11" s="1"/>
      <c r="F11" s="49" t="s">
        <v>22</v>
      </c>
      <c r="G11" s="57"/>
      <c r="H11" s="57" t="s">
        <v>22</v>
      </c>
      <c r="I11" s="57"/>
      <c r="J11" s="58"/>
      <c r="K11" s="58"/>
      <c r="L11" s="58"/>
    </row>
    <row r="12" spans="4:12" ht="15">
      <c r="D12" s="49" t="s">
        <v>10</v>
      </c>
      <c r="E12" s="1"/>
      <c r="F12" s="49" t="s">
        <v>23</v>
      </c>
      <c r="G12" s="57"/>
      <c r="H12" s="57" t="s">
        <v>23</v>
      </c>
      <c r="I12" s="57"/>
      <c r="J12" s="58"/>
      <c r="K12" s="58"/>
      <c r="L12" s="58"/>
    </row>
    <row r="13" spans="4:12" ht="15">
      <c r="D13" s="50" t="str">
        <f>'Inc.Statements'!I19</f>
        <v>31 MAR 2004</v>
      </c>
      <c r="E13" s="1"/>
      <c r="F13" s="50" t="s">
        <v>209</v>
      </c>
      <c r="G13" s="59"/>
      <c r="H13" s="59" t="s">
        <v>13</v>
      </c>
      <c r="I13" s="59"/>
      <c r="J13" s="60" t="s">
        <v>12</v>
      </c>
      <c r="K13" s="60"/>
      <c r="L13" s="60" t="s">
        <v>13</v>
      </c>
    </row>
    <row r="14" spans="4:12" ht="15">
      <c r="D14" s="49" t="s">
        <v>14</v>
      </c>
      <c r="E14" s="1"/>
      <c r="F14" s="49" t="s">
        <v>14</v>
      </c>
      <c r="G14" s="57"/>
      <c r="H14" s="57" t="s">
        <v>14</v>
      </c>
      <c r="I14" s="57"/>
      <c r="J14" s="58" t="s">
        <v>14</v>
      </c>
      <c r="K14" s="58"/>
      <c r="L14" s="58" t="s">
        <v>14</v>
      </c>
    </row>
    <row r="15" ht="15">
      <c r="F15" s="4"/>
    </row>
    <row r="16" spans="2:6" ht="15">
      <c r="B16" s="29" t="s">
        <v>159</v>
      </c>
      <c r="D16" s="27">
        <v>17046067</v>
      </c>
      <c r="F16" s="27">
        <v>11747304</v>
      </c>
    </row>
    <row r="17" spans="2:12" ht="15">
      <c r="B17" s="29" t="s">
        <v>160</v>
      </c>
      <c r="D17" s="27">
        <f>17877467-D16</f>
        <v>831400</v>
      </c>
      <c r="F17" s="43">
        <f>12130070-F16</f>
        <v>382766</v>
      </c>
      <c r="G17" s="61"/>
      <c r="H17" s="61">
        <v>11522199</v>
      </c>
      <c r="I17" s="61"/>
      <c r="J17" s="62">
        <v>11198475</v>
      </c>
      <c r="K17" s="62"/>
      <c r="L17" s="62">
        <v>11522199</v>
      </c>
    </row>
    <row r="18" spans="2:12" ht="15">
      <c r="B18" s="29" t="s">
        <v>51</v>
      </c>
      <c r="D18" s="43">
        <v>134862</v>
      </c>
      <c r="F18" s="43">
        <v>334345</v>
      </c>
      <c r="G18" s="61"/>
      <c r="H18" s="61">
        <v>468906</v>
      </c>
      <c r="I18" s="61"/>
      <c r="J18" s="62">
        <v>503229</v>
      </c>
      <c r="K18" s="62"/>
      <c r="L18" s="62">
        <v>468906</v>
      </c>
    </row>
    <row r="19" spans="2:12" ht="15">
      <c r="B19" s="29" t="s">
        <v>50</v>
      </c>
      <c r="D19" s="43">
        <f>240381-4127</f>
        <v>236254</v>
      </c>
      <c r="F19" s="43">
        <v>236502</v>
      </c>
      <c r="G19" s="61"/>
      <c r="H19" s="61">
        <v>81229</v>
      </c>
      <c r="I19" s="61"/>
      <c r="J19" s="62">
        <v>81369</v>
      </c>
      <c r="K19" s="62"/>
      <c r="L19" s="62">
        <v>81229</v>
      </c>
    </row>
    <row r="20" spans="2:15" ht="15">
      <c r="B20" s="29" t="s">
        <v>24</v>
      </c>
      <c r="D20" s="43">
        <f>623072+369108-16284</f>
        <v>975896</v>
      </c>
      <c r="F20" s="43">
        <f>380991-206+534</f>
        <v>381319</v>
      </c>
      <c r="G20" s="61"/>
      <c r="H20" s="61">
        <v>1433420</v>
      </c>
      <c r="I20" s="61"/>
      <c r="J20" s="62">
        <v>1256472</v>
      </c>
      <c r="K20" s="62"/>
      <c r="L20" s="62">
        <v>1433420</v>
      </c>
      <c r="O20" s="70"/>
    </row>
    <row r="21" spans="2:12" ht="15">
      <c r="B21" s="29" t="s">
        <v>251</v>
      </c>
      <c r="D21" s="43">
        <v>8849</v>
      </c>
      <c r="F21" s="43">
        <v>0</v>
      </c>
      <c r="G21" s="61"/>
      <c r="H21" s="61"/>
      <c r="I21" s="61"/>
      <c r="J21" s="62"/>
      <c r="K21" s="62"/>
      <c r="L21" s="62"/>
    </row>
    <row r="22" spans="4:15" ht="15">
      <c r="D22" s="63">
        <f>SUM(D16:D21)</f>
        <v>19233328</v>
      </c>
      <c r="F22" s="63">
        <f>SUM(F16:F21)</f>
        <v>13082236</v>
      </c>
      <c r="G22" s="61"/>
      <c r="H22" s="64">
        <f>SUM(H17:H20)</f>
        <v>13505754</v>
      </c>
      <c r="I22" s="64"/>
      <c r="J22" s="65">
        <f>SUM(J17:J20)</f>
        <v>13039545</v>
      </c>
      <c r="K22" s="62"/>
      <c r="L22" s="65">
        <f>SUM(L17:L20)</f>
        <v>13505754</v>
      </c>
      <c r="O22" s="70"/>
    </row>
    <row r="23" spans="2:12" ht="15">
      <c r="B23" s="39"/>
      <c r="C23" s="39"/>
      <c r="D23" s="66"/>
      <c r="E23" s="39"/>
      <c r="F23" s="66"/>
      <c r="G23" s="67"/>
      <c r="H23" s="67"/>
      <c r="I23" s="67"/>
      <c r="J23" s="68"/>
      <c r="K23" s="68"/>
      <c r="L23" s="68"/>
    </row>
    <row r="24" spans="2:12" ht="15">
      <c r="B24" s="29" t="s">
        <v>25</v>
      </c>
      <c r="D24" s="43"/>
      <c r="F24" s="43"/>
      <c r="G24" s="61"/>
      <c r="H24" s="61"/>
      <c r="I24" s="61"/>
      <c r="J24" s="62"/>
      <c r="K24" s="62"/>
      <c r="L24" s="62"/>
    </row>
    <row r="25" spans="3:12" ht="15">
      <c r="C25" s="69" t="s">
        <v>49</v>
      </c>
      <c r="D25" s="43">
        <v>128486</v>
      </c>
      <c r="E25" s="69"/>
      <c r="F25" s="43">
        <v>61715</v>
      </c>
      <c r="G25" s="61"/>
      <c r="H25" s="61">
        <v>29733</v>
      </c>
      <c r="I25" s="61"/>
      <c r="J25" s="62">
        <v>37002</v>
      </c>
      <c r="K25" s="62"/>
      <c r="L25" s="62">
        <v>29733</v>
      </c>
    </row>
    <row r="26" spans="3:16" ht="15">
      <c r="C26" s="69" t="s">
        <v>119</v>
      </c>
      <c r="D26" s="43">
        <v>1099660</v>
      </c>
      <c r="E26" s="69"/>
      <c r="F26" s="43">
        <v>479705</v>
      </c>
      <c r="G26" s="61"/>
      <c r="H26" s="61">
        <v>194438</v>
      </c>
      <c r="I26" s="61"/>
      <c r="J26" s="62">
        <v>237742</v>
      </c>
      <c r="K26" s="62"/>
      <c r="L26" s="62">
        <v>194438</v>
      </c>
      <c r="O26" s="70"/>
      <c r="P26" s="70"/>
    </row>
    <row r="27" spans="3:12" ht="15">
      <c r="C27" s="69" t="s">
        <v>46</v>
      </c>
      <c r="D27" s="43">
        <v>5432</v>
      </c>
      <c r="E27" s="69"/>
      <c r="F27" s="43">
        <v>5106</v>
      </c>
      <c r="G27" s="61"/>
      <c r="H27" s="61">
        <v>56775</v>
      </c>
      <c r="I27" s="61"/>
      <c r="J27" s="62">
        <v>15752</v>
      </c>
      <c r="K27" s="62"/>
      <c r="L27" s="62">
        <v>56775</v>
      </c>
    </row>
    <row r="28" spans="3:15" ht="15">
      <c r="C28" s="69" t="s">
        <v>26</v>
      </c>
      <c r="D28" s="43">
        <v>1853586</v>
      </c>
      <c r="E28" s="69"/>
      <c r="F28" s="43">
        <v>1029652</v>
      </c>
      <c r="G28" s="61"/>
      <c r="H28" s="61">
        <v>984000</v>
      </c>
      <c r="I28" s="61"/>
      <c r="J28" s="62">
        <v>1535621</v>
      </c>
      <c r="K28" s="62"/>
      <c r="L28" s="62">
        <v>984000</v>
      </c>
      <c r="O28" s="70"/>
    </row>
    <row r="29" spans="3:12" ht="15">
      <c r="C29" s="69" t="s">
        <v>27</v>
      </c>
      <c r="D29" s="43">
        <f>33208+330</f>
        <v>33538</v>
      </c>
      <c r="E29" s="69"/>
      <c r="F29" s="43">
        <v>49968</v>
      </c>
      <c r="G29" s="61"/>
      <c r="H29" s="61">
        <v>0</v>
      </c>
      <c r="I29" s="61"/>
      <c r="J29" s="62">
        <v>22789</v>
      </c>
      <c r="K29" s="62"/>
      <c r="L29" s="62">
        <v>0</v>
      </c>
    </row>
    <row r="30" spans="3:15" ht="15">
      <c r="C30" s="69" t="s">
        <v>28</v>
      </c>
      <c r="D30" s="43">
        <f>3224+331-2071</f>
        <v>1484</v>
      </c>
      <c r="E30" s="69"/>
      <c r="F30" s="43">
        <v>17921</v>
      </c>
      <c r="G30" s="61"/>
      <c r="H30" s="61">
        <v>22620</v>
      </c>
      <c r="I30" s="61"/>
      <c r="J30" s="62">
        <v>26177</v>
      </c>
      <c r="K30" s="62"/>
      <c r="L30" s="62">
        <v>22620</v>
      </c>
      <c r="O30" s="70"/>
    </row>
    <row r="31" spans="3:17" ht="15">
      <c r="C31" s="69"/>
      <c r="D31" s="71">
        <f>SUM(D24:D30)</f>
        <v>3122186</v>
      </c>
      <c r="E31" s="69"/>
      <c r="F31" s="71">
        <f>SUM(F25:F30)</f>
        <v>1644067</v>
      </c>
      <c r="G31" s="61"/>
      <c r="H31" s="64">
        <f>SUM(H25:H30)</f>
        <v>1287566</v>
      </c>
      <c r="I31" s="64"/>
      <c r="J31" s="65">
        <f>SUM(J25:J30)</f>
        <v>1875083</v>
      </c>
      <c r="K31" s="62"/>
      <c r="L31" s="65">
        <f>SUM(L25:L30)</f>
        <v>1287566</v>
      </c>
      <c r="P31" s="72"/>
      <c r="Q31" s="70"/>
    </row>
    <row r="32" spans="3:12" ht="15">
      <c r="C32" s="69"/>
      <c r="D32" s="43"/>
      <c r="E32" s="69"/>
      <c r="F32" s="43"/>
      <c r="G32" s="61"/>
      <c r="H32" s="61"/>
      <c r="I32" s="61"/>
      <c r="J32" s="62"/>
      <c r="K32" s="62"/>
      <c r="L32" s="62"/>
    </row>
    <row r="33" spans="2:12" ht="15">
      <c r="B33" s="29" t="s">
        <v>233</v>
      </c>
      <c r="D33" s="43"/>
      <c r="F33" s="43"/>
      <c r="G33" s="61"/>
      <c r="H33" s="61"/>
      <c r="I33" s="61"/>
      <c r="J33" s="62"/>
      <c r="K33" s="62"/>
      <c r="L33" s="62"/>
    </row>
    <row r="34" spans="3:12" ht="15">
      <c r="C34" s="69" t="s">
        <v>29</v>
      </c>
      <c r="D34" s="43">
        <v>5189770</v>
      </c>
      <c r="E34" s="69"/>
      <c r="F34" s="43">
        <v>2148899</v>
      </c>
      <c r="G34" s="61"/>
      <c r="H34" s="61">
        <v>522678</v>
      </c>
      <c r="I34" s="61"/>
      <c r="J34" s="62">
        <f>1658931-850000-200000</f>
        <v>608931</v>
      </c>
      <c r="K34" s="62"/>
      <c r="L34" s="62">
        <v>522678</v>
      </c>
    </row>
    <row r="35" spans="3:15" ht="15">
      <c r="C35" s="69" t="s">
        <v>120</v>
      </c>
      <c r="D35" s="43">
        <v>1204020</v>
      </c>
      <c r="E35" s="69"/>
      <c r="F35" s="43">
        <v>667043</v>
      </c>
      <c r="G35" s="61"/>
      <c r="H35" s="61">
        <v>501158</v>
      </c>
      <c r="I35" s="61"/>
      <c r="J35" s="62">
        <v>467371</v>
      </c>
      <c r="K35" s="62"/>
      <c r="L35" s="62">
        <v>501158</v>
      </c>
      <c r="O35" s="70"/>
    </row>
    <row r="36" spans="3:12" ht="15">
      <c r="C36" s="69" t="s">
        <v>30</v>
      </c>
      <c r="D36" s="43">
        <v>3951</v>
      </c>
      <c r="E36" s="69"/>
      <c r="F36" s="43">
        <v>1198</v>
      </c>
      <c r="G36" s="61"/>
      <c r="H36" s="61">
        <v>15574</v>
      </c>
      <c r="I36" s="61"/>
      <c r="J36" s="62">
        <v>10890</v>
      </c>
      <c r="K36" s="62"/>
      <c r="L36" s="62">
        <v>15574</v>
      </c>
    </row>
    <row r="37" spans="3:12" ht="15">
      <c r="C37" s="69" t="s">
        <v>31</v>
      </c>
      <c r="D37" s="43">
        <f>62774+43038</f>
        <v>105812</v>
      </c>
      <c r="E37" s="69"/>
      <c r="F37" s="43">
        <v>102010</v>
      </c>
      <c r="G37" s="61"/>
      <c r="H37" s="61">
        <v>199678</v>
      </c>
      <c r="I37" s="61"/>
      <c r="J37" s="62">
        <v>239072</v>
      </c>
      <c r="K37" s="62"/>
      <c r="L37" s="62">
        <v>199678</v>
      </c>
    </row>
    <row r="38" spans="3:15" ht="15">
      <c r="C38" s="69" t="s">
        <v>32</v>
      </c>
      <c r="D38" s="43">
        <v>1147</v>
      </c>
      <c r="E38" s="69"/>
      <c r="F38" s="43">
        <v>3052</v>
      </c>
      <c r="G38" s="61"/>
      <c r="H38" s="61">
        <v>20950</v>
      </c>
      <c r="I38" s="61"/>
      <c r="J38" s="62">
        <v>16629</v>
      </c>
      <c r="K38" s="62"/>
      <c r="L38" s="62">
        <v>20950</v>
      </c>
      <c r="O38" s="70"/>
    </row>
    <row r="39" spans="3:12" ht="15" hidden="1">
      <c r="C39" s="69" t="s">
        <v>92</v>
      </c>
      <c r="D39" s="43">
        <v>0</v>
      </c>
      <c r="E39" s="69"/>
      <c r="F39" s="43">
        <v>0</v>
      </c>
      <c r="G39" s="61"/>
      <c r="H39" s="61">
        <v>185991</v>
      </c>
      <c r="I39" s="61"/>
      <c r="J39" s="62">
        <v>0</v>
      </c>
      <c r="K39" s="62"/>
      <c r="L39" s="62">
        <v>185991</v>
      </c>
    </row>
    <row r="40" spans="4:12" ht="15">
      <c r="D40" s="63">
        <f>SUM(D33:D39)</f>
        <v>6504700</v>
      </c>
      <c r="F40" s="63">
        <f>SUM(F34:F39)</f>
        <v>2922202</v>
      </c>
      <c r="G40" s="61"/>
      <c r="H40" s="64">
        <f>SUM(H34:H39)</f>
        <v>1446029</v>
      </c>
      <c r="I40" s="64"/>
      <c r="J40" s="65">
        <f>SUM(J34:J39)</f>
        <v>1342893</v>
      </c>
      <c r="K40" s="62"/>
      <c r="L40" s="65">
        <f>SUM(L34:L39)</f>
        <v>1446029</v>
      </c>
    </row>
    <row r="41" spans="4:12" ht="15">
      <c r="D41" s="43"/>
      <c r="F41" s="43"/>
      <c r="G41" s="61"/>
      <c r="H41" s="61"/>
      <c r="I41" s="61"/>
      <c r="J41" s="62"/>
      <c r="K41" s="62"/>
      <c r="L41" s="62"/>
    </row>
    <row r="42" spans="2:12" ht="15">
      <c r="B42" s="29" t="s">
        <v>33</v>
      </c>
      <c r="D42" s="43">
        <f>D31-D40</f>
        <v>-3382514</v>
      </c>
      <c r="F42" s="43">
        <f>F31-F40</f>
        <v>-1278135</v>
      </c>
      <c r="G42" s="61"/>
      <c r="H42" s="61">
        <f>SUM(H31-H40)</f>
        <v>-158463</v>
      </c>
      <c r="I42" s="61"/>
      <c r="J42" s="62">
        <f>SUM(J31-J40)</f>
        <v>532190</v>
      </c>
      <c r="K42" s="62"/>
      <c r="L42" s="62">
        <f>SUM(L31-L40)</f>
        <v>-158463</v>
      </c>
    </row>
    <row r="43" spans="4:12" ht="15.75" thickBot="1">
      <c r="D43" s="73">
        <f>D42+D22</f>
        <v>15850814</v>
      </c>
      <c r="F43" s="73">
        <f>F42+F22</f>
        <v>11804101</v>
      </c>
      <c r="G43" s="61"/>
      <c r="H43" s="73">
        <f>SUM(H17+H18+H19+H20+H42)</f>
        <v>13347291</v>
      </c>
      <c r="I43" s="73"/>
      <c r="J43" s="74">
        <f>SUM(J17+J18+J19+J20+J42)</f>
        <v>13571735</v>
      </c>
      <c r="K43" s="62"/>
      <c r="L43" s="74">
        <f>SUM(L17+L18+L19+L20+L42)</f>
        <v>13347291</v>
      </c>
    </row>
    <row r="44" spans="4:12" ht="15.75" thickTop="1">
      <c r="D44" s="75"/>
      <c r="F44" s="43"/>
      <c r="G44" s="61"/>
      <c r="H44" s="61"/>
      <c r="I44" s="61"/>
      <c r="J44" s="62"/>
      <c r="K44" s="62"/>
      <c r="L44" s="62"/>
    </row>
    <row r="45" spans="4:12" ht="15">
      <c r="D45" s="43"/>
      <c r="F45" s="43"/>
      <c r="G45" s="61"/>
      <c r="H45" s="61"/>
      <c r="I45" s="61"/>
      <c r="J45" s="62"/>
      <c r="K45" s="62"/>
      <c r="L45" s="62"/>
    </row>
    <row r="46" spans="2:12" ht="15">
      <c r="B46" s="29" t="s">
        <v>34</v>
      </c>
      <c r="D46" s="43"/>
      <c r="F46" s="43"/>
      <c r="G46" s="61"/>
      <c r="H46" s="61"/>
      <c r="I46" s="61"/>
      <c r="J46" s="62"/>
      <c r="K46" s="62"/>
      <c r="L46" s="62"/>
    </row>
    <row r="47" spans="2:12" ht="15">
      <c r="B47" s="29" t="s">
        <v>35</v>
      </c>
      <c r="D47" s="61">
        <v>1859914</v>
      </c>
      <c r="F47" s="61">
        <v>1859914</v>
      </c>
      <c r="G47" s="61"/>
      <c r="H47" s="61">
        <v>1859914</v>
      </c>
      <c r="I47" s="61"/>
      <c r="J47" s="62">
        <v>1859914</v>
      </c>
      <c r="K47" s="62"/>
      <c r="L47" s="62">
        <v>1859914</v>
      </c>
    </row>
    <row r="48" spans="2:12" ht="15">
      <c r="B48" s="29" t="s">
        <v>37</v>
      </c>
      <c r="D48" s="61">
        <v>460882</v>
      </c>
      <c r="E48" s="69"/>
      <c r="F48" s="61">
        <v>460882</v>
      </c>
      <c r="G48" s="61"/>
      <c r="H48" s="61"/>
      <c r="I48" s="61"/>
      <c r="J48" s="62"/>
      <c r="K48" s="62"/>
      <c r="L48" s="62"/>
    </row>
    <row r="49" spans="2:12" ht="15">
      <c r="B49" s="29" t="s">
        <v>36</v>
      </c>
      <c r="D49" s="43"/>
      <c r="F49" s="43"/>
      <c r="G49" s="61"/>
      <c r="H49" s="61"/>
      <c r="I49" s="61"/>
      <c r="J49" s="62"/>
      <c r="K49" s="62"/>
      <c r="L49" s="62"/>
    </row>
    <row r="50" spans="3:12" ht="15">
      <c r="C50" s="69" t="s">
        <v>38</v>
      </c>
      <c r="D50" s="43">
        <v>35272</v>
      </c>
      <c r="E50" s="69"/>
      <c r="F50" s="43">
        <v>38921</v>
      </c>
      <c r="G50" s="61"/>
      <c r="H50" s="61">
        <v>38921</v>
      </c>
      <c r="I50" s="61"/>
      <c r="J50" s="62">
        <v>38921</v>
      </c>
      <c r="K50" s="62"/>
      <c r="L50" s="62">
        <v>38921</v>
      </c>
    </row>
    <row r="51" spans="3:15" ht="15">
      <c r="C51" s="69" t="s">
        <v>39</v>
      </c>
      <c r="D51" s="27">
        <f>3794+1185+41618</f>
        <v>46597</v>
      </c>
      <c r="E51" s="69"/>
      <c r="F51" s="43">
        <v>41190</v>
      </c>
      <c r="G51" s="61"/>
      <c r="H51" s="61">
        <v>43484</v>
      </c>
      <c r="I51" s="61"/>
      <c r="J51" s="62">
        <v>43419</v>
      </c>
      <c r="K51" s="62"/>
      <c r="L51" s="62">
        <v>43484</v>
      </c>
      <c r="O51" s="69"/>
    </row>
    <row r="52" spans="3:12" ht="15">
      <c r="C52" s="69" t="s">
        <v>40</v>
      </c>
      <c r="D52" s="43">
        <v>18124</v>
      </c>
      <c r="E52" s="69"/>
      <c r="F52" s="43">
        <v>16691</v>
      </c>
      <c r="G52" s="61"/>
      <c r="H52" s="61">
        <v>28839</v>
      </c>
      <c r="I52" s="61"/>
      <c r="J52" s="62">
        <v>30568</v>
      </c>
      <c r="K52" s="62"/>
      <c r="L52" s="62">
        <v>28839</v>
      </c>
    </row>
    <row r="53" spans="3:12" ht="15">
      <c r="C53" s="69" t="s">
        <v>41</v>
      </c>
      <c r="D53" s="76">
        <v>8931002</v>
      </c>
      <c r="E53" s="69"/>
      <c r="F53" s="76">
        <v>7200722</v>
      </c>
      <c r="G53" s="61"/>
      <c r="H53" s="77">
        <v>4576853</v>
      </c>
      <c r="I53" s="77"/>
      <c r="J53" s="78">
        <v>5579206</v>
      </c>
      <c r="K53" s="62"/>
      <c r="L53" s="78">
        <v>4576853</v>
      </c>
    </row>
    <row r="54" spans="3:12" ht="15">
      <c r="C54" s="69"/>
      <c r="D54" s="43">
        <f>SUM(D47:D53)</f>
        <v>11351791</v>
      </c>
      <c r="E54" s="69"/>
      <c r="F54" s="43">
        <f>SUM(F47:F53)</f>
        <v>9618320</v>
      </c>
      <c r="G54" s="61"/>
      <c r="H54" s="61">
        <f>SUM(H47:H53)</f>
        <v>6548011</v>
      </c>
      <c r="I54" s="61"/>
      <c r="J54" s="62">
        <f>SUM(J47:J53)</f>
        <v>7552028</v>
      </c>
      <c r="K54" s="62"/>
      <c r="L54" s="62">
        <f>SUM(L47:L53)</f>
        <v>6548011</v>
      </c>
    </row>
    <row r="55" spans="4:12" ht="15">
      <c r="D55" s="43"/>
      <c r="F55" s="43"/>
      <c r="G55" s="61"/>
      <c r="H55" s="61"/>
      <c r="I55" s="61"/>
      <c r="J55" s="62"/>
      <c r="K55" s="62"/>
      <c r="L55" s="62"/>
    </row>
    <row r="56" spans="2:12" ht="15">
      <c r="B56" s="29" t="s">
        <v>42</v>
      </c>
      <c r="D56" s="43">
        <v>251247</v>
      </c>
      <c r="F56" s="43">
        <v>75048</v>
      </c>
      <c r="G56" s="61"/>
      <c r="H56" s="61">
        <v>46781</v>
      </c>
      <c r="I56" s="61"/>
      <c r="J56" s="62">
        <v>34790</v>
      </c>
      <c r="K56" s="62"/>
      <c r="L56" s="62">
        <v>46781</v>
      </c>
    </row>
    <row r="57" spans="4:12" ht="15">
      <c r="D57" s="43"/>
      <c r="F57" s="43"/>
      <c r="G57" s="61"/>
      <c r="H57" s="61"/>
      <c r="I57" s="61"/>
      <c r="J57" s="62"/>
      <c r="K57" s="62"/>
      <c r="L57" s="62"/>
    </row>
    <row r="58" spans="2:12" ht="15">
      <c r="B58" s="29" t="s">
        <v>161</v>
      </c>
      <c r="D58" s="43"/>
      <c r="F58" s="43"/>
      <c r="G58" s="61"/>
      <c r="H58" s="61"/>
      <c r="I58" s="61"/>
      <c r="J58" s="62"/>
      <c r="K58" s="62"/>
      <c r="L58" s="62"/>
    </row>
    <row r="59" spans="3:12" ht="15">
      <c r="C59" s="69" t="s">
        <v>43</v>
      </c>
      <c r="D59" s="43">
        <v>4166481</v>
      </c>
      <c r="F59" s="43">
        <f>2073001+22807</f>
        <v>2095808</v>
      </c>
      <c r="G59" s="61"/>
      <c r="H59" s="61">
        <v>6669072</v>
      </c>
      <c r="I59" s="61"/>
      <c r="J59" s="62">
        <f>4976695+850000+200000</f>
        <v>6026695</v>
      </c>
      <c r="K59" s="62"/>
      <c r="L59" s="62">
        <v>6669072</v>
      </c>
    </row>
    <row r="60" spans="3:12" ht="15">
      <c r="C60" s="69" t="s">
        <v>44</v>
      </c>
      <c r="D60" s="43">
        <v>81295</v>
      </c>
      <c r="E60" s="69"/>
      <c r="F60" s="43">
        <v>14925</v>
      </c>
      <c r="G60" s="61"/>
      <c r="H60" s="61">
        <v>22067</v>
      </c>
      <c r="I60" s="61"/>
      <c r="J60" s="62">
        <v>23265</v>
      </c>
      <c r="K60" s="62"/>
      <c r="L60" s="62">
        <v>22067</v>
      </c>
    </row>
    <row r="61" spans="4:12" ht="15.75" thickBot="1">
      <c r="D61" s="79">
        <f>SUM(D54:D60)</f>
        <v>15850814</v>
      </c>
      <c r="F61" s="79">
        <f>SUM(F54:F60)</f>
        <v>11804101</v>
      </c>
      <c r="G61" s="61"/>
      <c r="H61" s="73">
        <f>SUM(H56:H60)+H54</f>
        <v>13285931</v>
      </c>
      <c r="I61" s="73"/>
      <c r="J61" s="74">
        <f>SUM(J56:J60)+J54</f>
        <v>13636778</v>
      </c>
      <c r="K61" s="62"/>
      <c r="L61" s="74">
        <f>SUM(L56:L60)+L54</f>
        <v>13285931</v>
      </c>
    </row>
    <row r="62" spans="4:12" ht="15.75" thickTop="1">
      <c r="D62" s="43">
        <f>D43-D61</f>
        <v>0</v>
      </c>
      <c r="F62" s="43">
        <f>F43-F61</f>
        <v>0</v>
      </c>
      <c r="G62" s="61"/>
      <c r="H62" s="61"/>
      <c r="I62" s="61"/>
      <c r="J62" s="62"/>
      <c r="K62" s="62"/>
      <c r="L62" s="62"/>
    </row>
    <row r="63" spans="4:12" ht="15">
      <c r="D63" s="70"/>
      <c r="F63" s="70"/>
      <c r="G63" s="61"/>
      <c r="H63" s="61"/>
      <c r="I63" s="61"/>
      <c r="J63" s="62"/>
      <c r="K63" s="62"/>
      <c r="L63" s="62"/>
    </row>
    <row r="64" spans="3:12" ht="15" hidden="1">
      <c r="C64" s="80" t="s">
        <v>45</v>
      </c>
      <c r="D64" s="81" t="str">
        <f>IF(D61-D43&gt;1,D61-D43,IF(D61-D43&lt;-1,D61-D43,"ngam"))</f>
        <v>ngam</v>
      </c>
      <c r="E64" s="80"/>
      <c r="F64" s="81" t="str">
        <f>IF(F61-F43&gt;1,F61-F43,IF(F61-F43&lt;-1,F61-F43,"ngam"))</f>
        <v>ngam</v>
      </c>
      <c r="H64" s="82">
        <f>IF(H61-H43&gt;1,H61-H43,IF(H61-H43&lt;-1,H61-H43,"ngam"))</f>
        <v>-61360</v>
      </c>
      <c r="I64" s="82"/>
      <c r="J64" s="83">
        <f>IF(J61-J43&gt;1,J61-J43,IF(J61-J43&lt;-1,J61-J43,"ngam"))</f>
        <v>65043</v>
      </c>
      <c r="L64" s="83">
        <f>IF(L61-L43&gt;1,L61-L43,IF(L61-L43&lt;-1,L61-L43,"ngam"))</f>
        <v>-61360</v>
      </c>
    </row>
    <row r="65" spans="4:6" ht="12.75" customHeight="1">
      <c r="D65" s="43"/>
      <c r="F65" s="43"/>
    </row>
    <row r="66" ht="12.75" customHeight="1"/>
  </sheetData>
  <sheetProtection password="C724" sheet="1" objects="1" scenarios="1"/>
  <printOptions/>
  <pageMargins left="0.63" right="0.6" top="0.78740157480315" bottom="1.15" header="0.511811023622047" footer="0.7"/>
  <pageSetup horizontalDpi="600" verticalDpi="600" orientation="portrait" paperSize="9" scale="69" r:id="rId2"/>
  <headerFooter alignWithMargins="0">
    <oddFooter>&amp;C&amp;12(The Condensed Consolidated Balance Sheet should be read in conjunction with the Annual Financial Statements
for the year ended 31 March 2003)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="70" zoomScaleNormal="72" zoomScaleSheetLayoutView="70" workbookViewId="0" topLeftCell="A1">
      <selection activeCell="B61" sqref="B61"/>
    </sheetView>
  </sheetViews>
  <sheetFormatPr defaultColWidth="9.140625" defaultRowHeight="12.75"/>
  <cols>
    <col min="1" max="2" width="3.00390625" style="29" customWidth="1"/>
    <col min="3" max="3" width="62.140625" style="29" customWidth="1"/>
    <col min="4" max="4" width="17.8515625" style="4" customWidth="1"/>
    <col min="5" max="5" width="7.7109375" style="4" customWidth="1"/>
    <col min="6" max="6" width="20.00390625" style="4" customWidth="1"/>
    <col min="7" max="7" width="10.57421875" style="4" customWidth="1"/>
    <col min="8" max="8" width="9.140625" style="4" customWidth="1"/>
    <col min="9" max="16384" width="9.140625" style="29" customWidth="1"/>
  </cols>
  <sheetData>
    <row r="1" spans="3:11" ht="15">
      <c r="C1" s="4"/>
      <c r="I1" s="4"/>
      <c r="J1" s="4"/>
      <c r="K1" s="4"/>
    </row>
    <row r="2" spans="1:11" ht="15.75">
      <c r="A2" s="30" t="s">
        <v>156</v>
      </c>
      <c r="C2" s="4"/>
      <c r="I2" s="4"/>
      <c r="J2" s="4"/>
      <c r="K2" s="4"/>
    </row>
    <row r="3" spans="1:11" ht="15">
      <c r="A3" s="56" t="s">
        <v>157</v>
      </c>
      <c r="C3" s="4"/>
      <c r="I3" s="4"/>
      <c r="J3" s="4"/>
      <c r="K3" s="4"/>
    </row>
    <row r="4" spans="3:11" ht="15">
      <c r="C4" s="4"/>
      <c r="I4" s="4"/>
      <c r="J4" s="4"/>
      <c r="K4" s="4"/>
    </row>
    <row r="5" spans="6:8" ht="6" customHeight="1">
      <c r="F5" s="29"/>
      <c r="H5" s="29"/>
    </row>
    <row r="6" spans="6:8" ht="16.5" customHeight="1">
      <c r="F6" s="29"/>
      <c r="G6" s="22" t="s">
        <v>162</v>
      </c>
      <c r="H6" s="29"/>
    </row>
    <row r="7" spans="1:8" ht="20.25" customHeight="1">
      <c r="A7" s="5" t="s">
        <v>254</v>
      </c>
      <c r="B7" s="5"/>
      <c r="C7" s="4"/>
      <c r="G7" s="29"/>
      <c r="H7" s="29"/>
    </row>
    <row r="8" spans="1:2" ht="16.5" customHeight="1">
      <c r="A8" s="84"/>
      <c r="B8" s="30"/>
    </row>
    <row r="9" spans="1:2" ht="11.25" customHeight="1">
      <c r="A9" s="30"/>
      <c r="B9" s="30"/>
    </row>
    <row r="10" spans="4:6" ht="15.75" customHeight="1">
      <c r="D10" s="154" t="s">
        <v>3</v>
      </c>
      <c r="E10" s="154"/>
      <c r="F10" s="154"/>
    </row>
    <row r="11" spans="4:6" ht="15.75" customHeight="1">
      <c r="D11" s="49" t="s">
        <v>5</v>
      </c>
      <c r="E11" s="2"/>
      <c r="F11" s="114" t="s">
        <v>20</v>
      </c>
    </row>
    <row r="12" spans="4:6" ht="15.75" customHeight="1">
      <c r="D12" s="49" t="s">
        <v>7</v>
      </c>
      <c r="E12" s="2"/>
      <c r="F12" s="114" t="s">
        <v>7</v>
      </c>
    </row>
    <row r="13" spans="4:6" ht="15.75" customHeight="1">
      <c r="D13" s="49" t="s">
        <v>11</v>
      </c>
      <c r="E13" s="2"/>
      <c r="F13" s="114" t="s">
        <v>11</v>
      </c>
    </row>
    <row r="14" spans="4:6" ht="15.75" customHeight="1">
      <c r="D14" s="114" t="str">
        <f>'Inc.Statements'!E19</f>
        <v>31 MAR 2004</v>
      </c>
      <c r="E14" s="2"/>
      <c r="F14" s="114" t="str">
        <f>'Inc.Statements'!G19</f>
        <v>31 MAR 2003</v>
      </c>
    </row>
    <row r="15" spans="4:6" ht="15.75" customHeight="1">
      <c r="D15" s="49" t="s">
        <v>14</v>
      </c>
      <c r="E15" s="2"/>
      <c r="F15" s="49" t="s">
        <v>14</v>
      </c>
    </row>
    <row r="16" spans="4:6" ht="11.25" customHeight="1">
      <c r="D16" s="23"/>
      <c r="E16" s="23"/>
      <c r="F16" s="23"/>
    </row>
    <row r="17" spans="4:9" ht="15">
      <c r="D17" s="23"/>
      <c r="E17" s="23"/>
      <c r="I17" s="85"/>
    </row>
    <row r="18" spans="2:6" ht="15" hidden="1">
      <c r="B18" s="29" t="s">
        <v>126</v>
      </c>
      <c r="D18" s="23">
        <v>4018005</v>
      </c>
      <c r="E18" s="23"/>
      <c r="F18" s="23">
        <v>4131457</v>
      </c>
    </row>
    <row r="19" spans="4:6" ht="15" hidden="1">
      <c r="D19" s="23"/>
      <c r="E19" s="23"/>
      <c r="F19" s="23"/>
    </row>
    <row r="20" spans="2:6" ht="15" hidden="1">
      <c r="B20" s="29" t="s">
        <v>127</v>
      </c>
      <c r="D20" s="25">
        <v>-2372354</v>
      </c>
      <c r="E20" s="23"/>
      <c r="F20" s="25">
        <v>-2200739</v>
      </c>
    </row>
    <row r="21" spans="4:6" ht="15" hidden="1">
      <c r="D21" s="26"/>
      <c r="E21" s="23"/>
      <c r="F21" s="26"/>
    </row>
    <row r="22" spans="2:6" ht="15" hidden="1">
      <c r="B22" s="29" t="s">
        <v>115</v>
      </c>
      <c r="D22" s="23">
        <f>SUM(D18:D20)</f>
        <v>1645651</v>
      </c>
      <c r="E22" s="23"/>
      <c r="F22" s="23">
        <f>SUM(F18:F20)</f>
        <v>1930718</v>
      </c>
    </row>
    <row r="23" spans="2:6" ht="15" hidden="1">
      <c r="B23" s="29" t="s">
        <v>128</v>
      </c>
      <c r="D23" s="23">
        <v>-1423</v>
      </c>
      <c r="E23" s="23"/>
      <c r="F23" s="23">
        <v>-14601</v>
      </c>
    </row>
    <row r="24" spans="4:5" ht="15" hidden="1">
      <c r="D24" s="23"/>
      <c r="E24" s="23"/>
    </row>
    <row r="25" spans="4:5" ht="15">
      <c r="D25" s="23"/>
      <c r="E25" s="23"/>
    </row>
    <row r="26" spans="1:8" ht="15">
      <c r="A26" s="29" t="s">
        <v>129</v>
      </c>
      <c r="D26" s="131">
        <v>2445857</v>
      </c>
      <c r="E26" s="26"/>
      <c r="F26" s="131">
        <v>2355225</v>
      </c>
      <c r="G26" s="23"/>
      <c r="H26" s="23"/>
    </row>
    <row r="27" spans="4:6" ht="15">
      <c r="D27" s="131"/>
      <c r="E27" s="26"/>
      <c r="F27" s="131"/>
    </row>
    <row r="28" spans="1:6" ht="15" hidden="1">
      <c r="A28" s="29" t="s">
        <v>116</v>
      </c>
      <c r="D28" s="131"/>
      <c r="E28" s="26"/>
      <c r="F28" s="131"/>
    </row>
    <row r="29" spans="2:6" ht="15" hidden="1">
      <c r="B29" s="29" t="s">
        <v>131</v>
      </c>
      <c r="C29" s="86"/>
      <c r="D29" s="131"/>
      <c r="E29" s="26"/>
      <c r="F29" s="131">
        <f>-9294-40</f>
        <v>-9334</v>
      </c>
    </row>
    <row r="30" spans="2:6" ht="15" hidden="1">
      <c r="B30" s="29" t="s">
        <v>163</v>
      </c>
      <c r="C30" s="86"/>
      <c r="D30" s="131"/>
      <c r="E30" s="26"/>
      <c r="F30" s="131">
        <f>-1295523+174</f>
        <v>-1295349</v>
      </c>
    </row>
    <row r="31" spans="2:6" ht="15" hidden="1">
      <c r="B31" s="29" t="s">
        <v>142</v>
      </c>
      <c r="C31" s="86"/>
      <c r="D31" s="131"/>
      <c r="E31" s="26"/>
      <c r="F31" s="131">
        <f>2218+620+4679</f>
        <v>7517</v>
      </c>
    </row>
    <row r="32" spans="2:6" ht="15" hidden="1">
      <c r="B32" s="29" t="s">
        <v>132</v>
      </c>
      <c r="C32" s="86"/>
      <c r="D32" s="131"/>
      <c r="E32" s="26"/>
      <c r="F32" s="131">
        <v>30872</v>
      </c>
    </row>
    <row r="33" spans="1:8" ht="15">
      <c r="A33" s="29" t="s">
        <v>164</v>
      </c>
      <c r="C33" s="86"/>
      <c r="D33" s="131">
        <v>-4367670</v>
      </c>
      <c r="E33" s="26"/>
      <c r="F33" s="131">
        <v>-1851170</v>
      </c>
      <c r="G33" s="23"/>
      <c r="H33" s="23"/>
    </row>
    <row r="34" spans="4:6" ht="15">
      <c r="D34" s="131"/>
      <c r="E34" s="26"/>
      <c r="F34" s="131"/>
    </row>
    <row r="35" spans="1:6" ht="15" hidden="1">
      <c r="A35" s="29" t="s">
        <v>117</v>
      </c>
      <c r="D35" s="131"/>
      <c r="E35" s="26"/>
      <c r="F35" s="131"/>
    </row>
    <row r="36" spans="2:6" ht="15" hidden="1">
      <c r="B36" s="29" t="s">
        <v>133</v>
      </c>
      <c r="C36" s="86"/>
      <c r="D36" s="131"/>
      <c r="E36" s="26"/>
      <c r="F36" s="131">
        <v>-593713</v>
      </c>
    </row>
    <row r="37" spans="2:6" ht="15" hidden="1">
      <c r="B37" s="29" t="s">
        <v>165</v>
      </c>
      <c r="C37" s="86"/>
      <c r="D37" s="131"/>
      <c r="E37" s="26"/>
      <c r="F37" s="131">
        <v>300000</v>
      </c>
    </row>
    <row r="38" spans="2:6" ht="15" hidden="1">
      <c r="B38" s="29" t="s">
        <v>134</v>
      </c>
      <c r="C38" s="86"/>
      <c r="D38" s="131"/>
      <c r="E38" s="26"/>
      <c r="F38" s="131">
        <v>-205000</v>
      </c>
    </row>
    <row r="39" spans="2:6" ht="15" hidden="1">
      <c r="B39" s="29" t="s">
        <v>137</v>
      </c>
      <c r="C39" s="86"/>
      <c r="D39" s="131"/>
      <c r="E39" s="6"/>
      <c r="F39" s="131">
        <v>-278987</v>
      </c>
    </row>
    <row r="40" spans="2:6" ht="15" hidden="1">
      <c r="B40" s="29" t="s">
        <v>136</v>
      </c>
      <c r="C40" s="86"/>
      <c r="D40" s="131"/>
      <c r="E40" s="26"/>
      <c r="F40" s="131">
        <v>-8946</v>
      </c>
    </row>
    <row r="41" spans="2:6" ht="15" hidden="1">
      <c r="B41" s="29" t="s">
        <v>135</v>
      </c>
      <c r="C41" s="86"/>
      <c r="D41" s="131"/>
      <c r="E41" s="26"/>
      <c r="F41" s="131">
        <v>-103638</v>
      </c>
    </row>
    <row r="42" spans="1:8" ht="15">
      <c r="A42" s="29" t="s">
        <v>166</v>
      </c>
      <c r="C42" s="86"/>
      <c r="D42" s="131">
        <v>2750056</v>
      </c>
      <c r="E42" s="26"/>
      <c r="F42" s="131">
        <v>-1148298</v>
      </c>
      <c r="G42" s="23"/>
      <c r="H42" s="23"/>
    </row>
    <row r="43" spans="4:6" ht="15.75" thickBot="1">
      <c r="D43" s="133"/>
      <c r="E43" s="23"/>
      <c r="F43" s="133"/>
    </row>
    <row r="44" spans="1:6" ht="15">
      <c r="A44" s="29" t="s">
        <v>118</v>
      </c>
      <c r="D44" s="131">
        <f>+D26+D33+D42</f>
        <v>828243</v>
      </c>
      <c r="E44" s="23"/>
      <c r="F44" s="131">
        <f>+F26+F33+F42</f>
        <v>-644243</v>
      </c>
    </row>
    <row r="45" spans="4:6" ht="15">
      <c r="D45" s="122"/>
      <c r="E45" s="23"/>
      <c r="F45" s="122"/>
    </row>
    <row r="46" spans="1:6" ht="15">
      <c r="A46" s="29" t="s">
        <v>130</v>
      </c>
      <c r="D46" s="122">
        <f>1018980+1</f>
        <v>1018981</v>
      </c>
      <c r="E46" s="23"/>
      <c r="F46" s="23">
        <f>1659797</f>
        <v>1659797</v>
      </c>
    </row>
    <row r="47" spans="4:6" ht="15">
      <c r="D47" s="122"/>
      <c r="E47" s="23"/>
      <c r="F47" s="23"/>
    </row>
    <row r="48" spans="1:6" ht="15">
      <c r="A48" s="29" t="s">
        <v>121</v>
      </c>
      <c r="D48" s="122">
        <f>6362</f>
        <v>6362</v>
      </c>
      <c r="E48" s="23"/>
      <c r="F48" s="23">
        <v>3427</v>
      </c>
    </row>
    <row r="49" spans="4:6" ht="15">
      <c r="D49" s="122"/>
      <c r="E49" s="23"/>
      <c r="F49" s="23"/>
    </row>
    <row r="50" spans="1:6" ht="15.75" thickBot="1">
      <c r="A50" s="29" t="s">
        <v>234</v>
      </c>
      <c r="D50" s="144">
        <f>+D44+D46+D48</f>
        <v>1853586</v>
      </c>
      <c r="E50" s="23"/>
      <c r="F50" s="87">
        <f>+F44+F46+F48</f>
        <v>1018981</v>
      </c>
    </row>
    <row r="51" ht="11.25" customHeight="1" thickTop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>
      <c r="B73" s="29" t="s">
        <v>218</v>
      </c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</sheetData>
  <sheetProtection password="C724" sheet="1" objects="1" scenarios="1"/>
  <mergeCells count="1">
    <mergeCell ref="D10:F10"/>
  </mergeCells>
  <printOptions/>
  <pageMargins left="0.6811" right="0.61" top="0.786" bottom="1.14" header="0.5118" footer="0.7"/>
  <pageSetup horizontalDpi="600" verticalDpi="600" orientation="portrait" paperSize="9" scale="70" r:id="rId2"/>
  <headerFooter alignWithMargins="0">
    <oddFooter>&amp;C&amp;12(The Condensed Consolidated Cash Flow Statement should be read in conjunction with the Annual Financial Statements
for the year ended 31 March 2003)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6"/>
  <sheetViews>
    <sheetView view="pageBreakPreview" zoomScale="60" zoomScaleNormal="75" workbookViewId="0" topLeftCell="A1">
      <selection activeCell="B61" sqref="B61"/>
    </sheetView>
  </sheetViews>
  <sheetFormatPr defaultColWidth="9.140625" defaultRowHeight="16.5" customHeight="1"/>
  <cols>
    <col min="1" max="2" width="3.00390625" style="89" customWidth="1"/>
    <col min="3" max="3" width="42.28125" style="89" customWidth="1"/>
    <col min="4" max="4" width="17.140625" style="89" bestFit="1" customWidth="1"/>
    <col min="5" max="5" width="2.421875" style="89" customWidth="1"/>
    <col min="6" max="6" width="12.00390625" style="89" customWidth="1"/>
    <col min="7" max="7" width="2.421875" style="89" customWidth="1"/>
    <col min="8" max="8" width="12.421875" style="89" customWidth="1"/>
    <col min="9" max="9" width="2.421875" style="89" customWidth="1"/>
    <col min="10" max="10" width="14.57421875" style="89" customWidth="1"/>
    <col min="11" max="11" width="2.421875" style="89" customWidth="1"/>
    <col min="12" max="12" width="15.28125" style="89" customWidth="1"/>
    <col min="13" max="13" width="2.8515625" style="89" customWidth="1"/>
    <col min="14" max="16384" width="9.140625" style="89" customWidth="1"/>
  </cols>
  <sheetData>
    <row r="2" ht="16.5" customHeight="1">
      <c r="A2" s="88" t="s">
        <v>156</v>
      </c>
    </row>
    <row r="3" ht="16.5" customHeight="1">
      <c r="A3" s="90" t="s">
        <v>157</v>
      </c>
    </row>
    <row r="5" ht="16.5" customHeight="1">
      <c r="M5" s="116" t="s">
        <v>167</v>
      </c>
    </row>
    <row r="6" ht="16.5" customHeight="1">
      <c r="F6" s="91"/>
    </row>
    <row r="7" ht="16.5" customHeight="1">
      <c r="A7" s="88" t="s">
        <v>277</v>
      </c>
    </row>
    <row r="8" ht="16.5" customHeight="1">
      <c r="A8" s="88"/>
    </row>
    <row r="9" ht="16.5" customHeight="1">
      <c r="A9" s="88"/>
    </row>
    <row r="11" spans="1:10" ht="16.5" customHeight="1">
      <c r="A11" s="88"/>
      <c r="D11" s="92" t="s">
        <v>35</v>
      </c>
      <c r="E11" s="137" t="s">
        <v>238</v>
      </c>
      <c r="F11" s="156" t="s">
        <v>139</v>
      </c>
      <c r="G11" s="156"/>
      <c r="H11" s="156"/>
      <c r="J11" s="89" t="s">
        <v>138</v>
      </c>
    </row>
    <row r="12" ht="16.5" customHeight="1">
      <c r="A12" s="88"/>
    </row>
    <row r="13" spans="1:12" ht="16.5" customHeight="1">
      <c r="A13" s="88"/>
      <c r="D13" s="92" t="s">
        <v>95</v>
      </c>
      <c r="F13" s="92" t="s">
        <v>97</v>
      </c>
      <c r="H13" s="92" t="s">
        <v>99</v>
      </c>
      <c r="J13" s="92" t="s">
        <v>101</v>
      </c>
      <c r="L13" s="92"/>
    </row>
    <row r="14" spans="1:12" ht="16.5" customHeight="1">
      <c r="A14" s="88"/>
      <c r="D14" s="92" t="s">
        <v>96</v>
      </c>
      <c r="F14" s="92" t="s">
        <v>98</v>
      </c>
      <c r="H14" s="92" t="s">
        <v>100</v>
      </c>
      <c r="J14" s="92" t="s">
        <v>102</v>
      </c>
      <c r="L14" s="92" t="s">
        <v>75</v>
      </c>
    </row>
    <row r="15" spans="4:12" ht="16.5" customHeight="1">
      <c r="D15" s="92" t="s">
        <v>14</v>
      </c>
      <c r="F15" s="92" t="s">
        <v>14</v>
      </c>
      <c r="H15" s="92" t="s">
        <v>14</v>
      </c>
      <c r="J15" s="92" t="s">
        <v>14</v>
      </c>
      <c r="L15" s="92" t="s">
        <v>14</v>
      </c>
    </row>
    <row r="17" ht="16.5" customHeight="1">
      <c r="A17" s="89" t="s">
        <v>260</v>
      </c>
    </row>
    <row r="19" spans="1:12" ht="16.5" customHeight="1">
      <c r="A19" s="89" t="s">
        <v>210</v>
      </c>
      <c r="D19" s="89">
        <v>1859914</v>
      </c>
      <c r="F19" s="89">
        <v>460882</v>
      </c>
      <c r="H19" s="89">
        <v>96802</v>
      </c>
      <c r="J19" s="89">
        <v>7200722</v>
      </c>
      <c r="L19" s="89">
        <v>9618320</v>
      </c>
    </row>
    <row r="20" spans="4:12" ht="16.5" customHeight="1"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6.5" customHeight="1">
      <c r="A21" s="89" t="s">
        <v>103</v>
      </c>
      <c r="C21" s="122"/>
      <c r="D21" s="123">
        <v>0</v>
      </c>
      <c r="E21" s="124"/>
      <c r="F21" s="124">
        <v>0</v>
      </c>
      <c r="G21" s="124"/>
      <c r="H21" s="124">
        <v>5523</v>
      </c>
      <c r="I21" s="124"/>
      <c r="J21" s="124">
        <v>0</v>
      </c>
      <c r="K21" s="124"/>
      <c r="L21" s="125">
        <f>SUM(D21:J21)</f>
        <v>5523</v>
      </c>
    </row>
    <row r="22" spans="1:12" ht="16.5" customHeight="1">
      <c r="A22" s="89" t="s">
        <v>222</v>
      </c>
      <c r="C22" s="122"/>
      <c r="D22" s="126">
        <v>0</v>
      </c>
      <c r="E22" s="94"/>
      <c r="F22" s="94">
        <v>0</v>
      </c>
      <c r="G22" s="94"/>
      <c r="H22" s="94">
        <v>1317</v>
      </c>
      <c r="I22" s="94"/>
      <c r="J22" s="94">
        <v>-1318</v>
      </c>
      <c r="K22" s="94"/>
      <c r="L22" s="127">
        <f>SUM(D22:J22)</f>
        <v>-1</v>
      </c>
    </row>
    <row r="23" spans="1:12" ht="16.5" customHeight="1">
      <c r="A23" s="89" t="s">
        <v>212</v>
      </c>
      <c r="C23" s="122"/>
      <c r="D23" s="128">
        <v>0</v>
      </c>
      <c r="E23" s="129"/>
      <c r="F23" s="129">
        <v>0</v>
      </c>
      <c r="G23" s="129"/>
      <c r="H23" s="129">
        <v>-3649</v>
      </c>
      <c r="I23" s="129"/>
      <c r="J23" s="129">
        <v>0</v>
      </c>
      <c r="K23" s="129"/>
      <c r="L23" s="130">
        <f>SUM(D23:J23)</f>
        <v>-3649</v>
      </c>
    </row>
    <row r="24" spans="3:12" ht="16.5" customHeight="1">
      <c r="C24" s="122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2" ht="16.5" customHeight="1">
      <c r="A25" s="89" t="s">
        <v>104</v>
      </c>
      <c r="C25" s="122"/>
      <c r="D25" s="122">
        <f>SUM(D21:D24)</f>
        <v>0</v>
      </c>
      <c r="E25" s="122"/>
      <c r="F25" s="122">
        <f>SUM(F21:F24)</f>
        <v>0</v>
      </c>
      <c r="G25" s="122"/>
      <c r="H25" s="122">
        <f>SUM(H21:H24)</f>
        <v>3191</v>
      </c>
      <c r="I25" s="122"/>
      <c r="J25" s="122">
        <f>SUM(J21:J24)</f>
        <v>-1318</v>
      </c>
      <c r="K25" s="122"/>
      <c r="L25" s="122">
        <f>SUM(L21:L24)</f>
        <v>1873</v>
      </c>
    </row>
    <row r="26" spans="1:12" ht="16.5" customHeight="1">
      <c r="A26" s="89" t="s">
        <v>105</v>
      </c>
      <c r="C26" s="122"/>
      <c r="D26" s="122">
        <v>0</v>
      </c>
      <c r="E26" s="122"/>
      <c r="F26" s="122">
        <v>0</v>
      </c>
      <c r="G26" s="122"/>
      <c r="H26" s="122">
        <v>0</v>
      </c>
      <c r="I26" s="122"/>
      <c r="J26" s="122">
        <f>'Inc.Statements'!I43</f>
        <v>2289571</v>
      </c>
      <c r="K26" s="122"/>
      <c r="L26" s="122">
        <f>SUM(D26:J26)</f>
        <v>2289571</v>
      </c>
    </row>
    <row r="27" spans="1:12" ht="16.5" customHeight="1">
      <c r="A27" s="89" t="s">
        <v>106</v>
      </c>
      <c r="D27" s="89">
        <v>0</v>
      </c>
      <c r="F27" s="89">
        <v>0</v>
      </c>
      <c r="H27" s="89">
        <v>0</v>
      </c>
      <c r="J27" s="89">
        <f>-278987*2</f>
        <v>-557974</v>
      </c>
      <c r="L27" s="89">
        <f>SUM(D27:J27)</f>
        <v>-557974</v>
      </c>
    </row>
    <row r="28" spans="4:12" ht="16.5" customHeight="1"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6.5" customHeight="1">
      <c r="A29" s="89" t="s">
        <v>258</v>
      </c>
      <c r="D29" s="89">
        <f>D19+D25+D26+D27</f>
        <v>1859914</v>
      </c>
      <c r="F29" s="89">
        <f>F19+F25+F26+F27</f>
        <v>460882</v>
      </c>
      <c r="H29" s="89">
        <f>H19+H25+H26+H27</f>
        <v>99993</v>
      </c>
      <c r="J29" s="89">
        <f>J19+J25+J26+J27</f>
        <v>8931001</v>
      </c>
      <c r="L29" s="89">
        <f>L19+L25+L26+L27</f>
        <v>11351790</v>
      </c>
    </row>
    <row r="30" spans="4:12" ht="16.5" customHeight="1">
      <c r="D30" s="95"/>
      <c r="E30" s="95"/>
      <c r="F30" s="95"/>
      <c r="G30" s="95"/>
      <c r="H30" s="95"/>
      <c r="I30" s="95"/>
      <c r="J30" s="95"/>
      <c r="K30" s="95"/>
      <c r="L30" s="95"/>
    </row>
    <row r="31" spans="4:12" ht="16.5" customHeight="1">
      <c r="D31" s="93"/>
      <c r="E31" s="93"/>
      <c r="F31" s="93"/>
      <c r="G31" s="93"/>
      <c r="H31" s="131"/>
      <c r="I31" s="131"/>
      <c r="J31" s="131"/>
      <c r="K31" s="131"/>
      <c r="L31" s="131"/>
    </row>
    <row r="32" spans="4:12" ht="16.5" customHeight="1">
      <c r="D32" s="93"/>
      <c r="E32" s="93"/>
      <c r="F32" s="93"/>
      <c r="G32" s="93"/>
      <c r="H32" s="131"/>
      <c r="I32" s="131"/>
      <c r="J32" s="131"/>
      <c r="K32" s="131"/>
      <c r="L32" s="131"/>
    </row>
    <row r="33" spans="1:12" ht="16.5" customHeight="1">
      <c r="A33" s="89" t="s">
        <v>257</v>
      </c>
      <c r="D33" s="93"/>
      <c r="E33" s="93"/>
      <c r="F33" s="93"/>
      <c r="G33" s="93"/>
      <c r="H33" s="93"/>
      <c r="I33" s="93"/>
      <c r="J33" s="93"/>
      <c r="K33" s="93"/>
      <c r="L33" s="93"/>
    </row>
    <row r="34" spans="4:12" ht="16.5" customHeight="1"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6.5" customHeight="1">
      <c r="A35" s="89" t="s">
        <v>214</v>
      </c>
      <c r="D35" s="112">
        <v>1859914</v>
      </c>
      <c r="E35" s="112"/>
      <c r="F35" s="112">
        <v>460882</v>
      </c>
      <c r="G35" s="112"/>
      <c r="H35" s="112">
        <v>86916</v>
      </c>
      <c r="I35" s="112"/>
      <c r="J35" s="112">
        <v>6527528</v>
      </c>
      <c r="K35" s="112"/>
      <c r="L35" s="112">
        <f>SUM(D35:J35)</f>
        <v>8935240</v>
      </c>
    </row>
    <row r="36" spans="1:12" ht="16.5" customHeight="1">
      <c r="A36" s="89" t="s">
        <v>255</v>
      </c>
      <c r="D36" s="122">
        <v>0</v>
      </c>
      <c r="E36" s="111"/>
      <c r="F36" s="122">
        <v>0</v>
      </c>
      <c r="G36" s="111"/>
      <c r="H36" s="122">
        <v>0</v>
      </c>
      <c r="I36" s="112"/>
      <c r="J36" s="112">
        <v>-73993</v>
      </c>
      <c r="K36" s="112"/>
      <c r="L36" s="112">
        <f>SUM(D36:J36)</f>
        <v>-73993</v>
      </c>
    </row>
    <row r="37" spans="4:12" ht="16.5" customHeight="1"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ht="16.5" customHeight="1">
      <c r="A38" s="89" t="s">
        <v>256</v>
      </c>
      <c r="D38" s="152">
        <f>SUM(D35:D37)</f>
        <v>1859914</v>
      </c>
      <c r="E38" s="152"/>
      <c r="F38" s="152">
        <f>SUM(F35:F37)</f>
        <v>460882</v>
      </c>
      <c r="G38" s="152"/>
      <c r="H38" s="152">
        <f>SUM(H35:H37)</f>
        <v>86916</v>
      </c>
      <c r="I38" s="152"/>
      <c r="J38" s="152">
        <f>SUM(J35:J37)</f>
        <v>6453535</v>
      </c>
      <c r="K38" s="152"/>
      <c r="L38" s="152">
        <f>SUM(L35:L37)</f>
        <v>8861247</v>
      </c>
    </row>
    <row r="39" spans="4:12" ht="16.5" customHeight="1">
      <c r="D39" s="93"/>
      <c r="E39" s="93"/>
      <c r="F39" s="93"/>
      <c r="G39" s="93"/>
      <c r="H39" s="93"/>
      <c r="I39" s="93"/>
      <c r="J39" s="93"/>
      <c r="K39" s="93"/>
      <c r="L39" s="93"/>
    </row>
    <row r="40" spans="1:12" ht="16.5" customHeight="1">
      <c r="A40" s="118" t="s">
        <v>103</v>
      </c>
      <c r="B40" s="29"/>
      <c r="C40" s="29"/>
      <c r="D40" s="123">
        <v>0</v>
      </c>
      <c r="E40" s="124"/>
      <c r="F40" s="124">
        <v>0</v>
      </c>
      <c r="G40" s="145"/>
      <c r="H40" s="146">
        <v>4384</v>
      </c>
      <c r="I40" s="145"/>
      <c r="J40" s="124">
        <v>0</v>
      </c>
      <c r="K40" s="145"/>
      <c r="L40" s="117">
        <f>SUM(D40:J40)</f>
        <v>4384</v>
      </c>
    </row>
    <row r="41" spans="1:12" ht="16.5" customHeight="1">
      <c r="A41" s="89" t="s">
        <v>222</v>
      </c>
      <c r="B41" s="29"/>
      <c r="C41" s="29"/>
      <c r="D41" s="128">
        <v>0</v>
      </c>
      <c r="E41" s="129"/>
      <c r="F41" s="129">
        <v>0</v>
      </c>
      <c r="G41" s="147"/>
      <c r="H41" s="151">
        <v>5502</v>
      </c>
      <c r="I41" s="147"/>
      <c r="J41" s="129">
        <v>-5502</v>
      </c>
      <c r="K41" s="147"/>
      <c r="L41" s="130">
        <f>SUM(D41:J41)</f>
        <v>0</v>
      </c>
    </row>
    <row r="42" spans="1:12" ht="16.5" customHeight="1">
      <c r="A42" s="118"/>
      <c r="D42" s="93"/>
      <c r="E42" s="93"/>
      <c r="F42" s="93"/>
      <c r="G42" s="93"/>
      <c r="H42" s="93"/>
      <c r="I42" s="93"/>
      <c r="J42" s="93"/>
      <c r="K42" s="93"/>
      <c r="L42" s="93"/>
    </row>
    <row r="43" spans="1:12" ht="16.5" customHeight="1">
      <c r="A43" s="118" t="s">
        <v>104</v>
      </c>
      <c r="D43" s="122">
        <f>SUM(D40:D42)</f>
        <v>0</v>
      </c>
      <c r="E43" s="122"/>
      <c r="F43" s="122">
        <f>SUM(F40:F42)</f>
        <v>0</v>
      </c>
      <c r="G43" s="122"/>
      <c r="H43" s="122">
        <f>SUM(H40:H42)</f>
        <v>9886</v>
      </c>
      <c r="I43" s="122"/>
      <c r="J43" s="122">
        <f>SUM(J40:J42)</f>
        <v>-5502</v>
      </c>
      <c r="K43" s="122"/>
      <c r="L43" s="122">
        <f>SUM(L40:L42)</f>
        <v>4384</v>
      </c>
    </row>
    <row r="44" spans="1:12" ht="16.5" customHeight="1">
      <c r="A44" s="118" t="s">
        <v>105</v>
      </c>
      <c r="B44" s="29"/>
      <c r="C44" s="29"/>
      <c r="D44" s="122">
        <v>0</v>
      </c>
      <c r="E44" s="122"/>
      <c r="F44" s="122">
        <v>0</v>
      </c>
      <c r="G44" s="122"/>
      <c r="H44" s="122">
        <v>0</v>
      </c>
      <c r="I44" s="122"/>
      <c r="J44" s="122">
        <f>'Inc.Statements'!K43</f>
        <v>1310663</v>
      </c>
      <c r="K44" s="122"/>
      <c r="L44" s="122">
        <f>J44</f>
        <v>1310663</v>
      </c>
    </row>
    <row r="45" spans="1:12" ht="16.5" customHeight="1">
      <c r="A45" s="118" t="s">
        <v>106</v>
      </c>
      <c r="B45" s="29"/>
      <c r="C45" s="29"/>
      <c r="D45" s="89">
        <v>0</v>
      </c>
      <c r="F45" s="89">
        <v>0</v>
      </c>
      <c r="H45" s="89">
        <v>0</v>
      </c>
      <c r="J45" s="89">
        <f>-278987*2</f>
        <v>-557974</v>
      </c>
      <c r="L45" s="89">
        <f>-278987*2</f>
        <v>-557974</v>
      </c>
    </row>
    <row r="46" spans="4:12" ht="16.5" customHeight="1">
      <c r="D46" s="95"/>
      <c r="E46" s="95"/>
      <c r="F46" s="95"/>
      <c r="G46" s="95"/>
      <c r="H46" s="95"/>
      <c r="I46" s="95"/>
      <c r="J46" s="95"/>
      <c r="K46" s="95"/>
      <c r="L46" s="95"/>
    </row>
    <row r="47" spans="1:13" ht="16.5" customHeight="1">
      <c r="A47" s="89" t="s">
        <v>259</v>
      </c>
      <c r="D47" s="89">
        <f>D38+D43+D44+D45</f>
        <v>1859914</v>
      </c>
      <c r="F47" s="89">
        <f>F38+F43+F44+F45</f>
        <v>460882</v>
      </c>
      <c r="H47" s="89">
        <f>H38+H43+H44+H45</f>
        <v>96802</v>
      </c>
      <c r="J47" s="89">
        <f>J38+J43+J44+J45</f>
        <v>7200722</v>
      </c>
      <c r="L47" s="89">
        <f>L38+L43+L44+L45</f>
        <v>9618320</v>
      </c>
      <c r="M47" s="96"/>
    </row>
    <row r="48" spans="4:12" ht="8.25" customHeight="1">
      <c r="D48" s="95"/>
      <c r="E48" s="95"/>
      <c r="F48" s="95"/>
      <c r="G48" s="95"/>
      <c r="H48" s="95"/>
      <c r="I48" s="95"/>
      <c r="J48" s="95"/>
      <c r="K48" s="95"/>
      <c r="L48" s="95"/>
    </row>
    <row r="49" spans="4:12" ht="16.5" customHeight="1">
      <c r="D49" s="93"/>
      <c r="E49" s="93"/>
      <c r="F49" s="93"/>
      <c r="G49" s="93"/>
      <c r="H49" s="93"/>
      <c r="I49" s="93"/>
      <c r="J49" s="93"/>
      <c r="K49" s="93"/>
      <c r="L49" s="93"/>
    </row>
    <row r="50" spans="4:12" ht="16.5" customHeight="1">
      <c r="D50" s="93"/>
      <c r="E50" s="93"/>
      <c r="F50" s="93"/>
      <c r="G50" s="93"/>
      <c r="H50" s="93"/>
      <c r="I50" s="93"/>
      <c r="J50" s="93"/>
      <c r="K50" s="93"/>
      <c r="L50" s="93"/>
    </row>
    <row r="51" ht="16.5" customHeight="1">
      <c r="A51" s="89" t="s">
        <v>143</v>
      </c>
    </row>
    <row r="86" ht="16.5" customHeight="1">
      <c r="B86" s="89" t="s">
        <v>218</v>
      </c>
    </row>
  </sheetData>
  <sheetProtection password="C724" sheet="1" objects="1" scenarios="1"/>
  <mergeCells count="1">
    <mergeCell ref="F11:H11"/>
  </mergeCells>
  <printOptions/>
  <pageMargins left="0.61" right="0.48" top="1" bottom="1.15" header="0.5" footer="0.7"/>
  <pageSetup horizontalDpi="600" verticalDpi="600" orientation="portrait" paperSize="9" scale="70" r:id="rId2"/>
  <headerFooter alignWithMargins="0">
    <oddFooter>&amp;C&amp;11(The Condensed Consolidated  Statement of Changes in Equity should be read in conjunction with the Annual Financial Statements 
for the year ended 31 March 2003)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287"/>
  <sheetViews>
    <sheetView view="pageBreakPreview" zoomScale="70" zoomScaleNormal="75" zoomScaleSheetLayoutView="70" workbookViewId="0" topLeftCell="A1">
      <selection activeCell="B244" sqref="B244"/>
    </sheetView>
  </sheetViews>
  <sheetFormatPr defaultColWidth="9.140625" defaultRowHeight="12.75"/>
  <cols>
    <col min="1" max="1" width="6.421875" style="4" customWidth="1"/>
    <col min="2" max="2" width="3.28125" style="4" customWidth="1"/>
    <col min="3" max="3" width="6.28125" style="4" customWidth="1"/>
    <col min="4" max="4" width="5.140625" style="4" customWidth="1"/>
    <col min="5" max="5" width="3.00390625" style="4" customWidth="1"/>
    <col min="6" max="6" width="19.421875" style="4" customWidth="1"/>
    <col min="7" max="7" width="13.8515625" style="4" customWidth="1"/>
    <col min="8" max="8" width="2.140625" style="4" customWidth="1"/>
    <col min="9" max="9" width="15.28125" style="4" customWidth="1"/>
    <col min="10" max="10" width="2.140625" style="4" customWidth="1"/>
    <col min="11" max="11" width="15.7109375" style="4" bestFit="1" customWidth="1"/>
    <col min="12" max="12" width="2.28125" style="4" customWidth="1"/>
    <col min="13" max="13" width="15.00390625" style="4" customWidth="1"/>
    <col min="14" max="14" width="3.00390625" style="4" customWidth="1"/>
    <col min="15" max="15" width="17.8515625" style="4" customWidth="1"/>
    <col min="16" max="16" width="7.8515625" style="4" customWidth="1"/>
    <col min="17" max="17" width="4.57421875" style="4" customWidth="1"/>
    <col min="18" max="18" width="11.7109375" style="4" customWidth="1"/>
    <col min="19" max="19" width="6.28125" style="4" customWidth="1"/>
    <col min="20" max="16384" width="7.8515625" style="4" customWidth="1"/>
  </cols>
  <sheetData>
    <row r="3" spans="1:2" ht="15.75">
      <c r="A3" s="30" t="s">
        <v>156</v>
      </c>
      <c r="B3" s="29"/>
    </row>
    <row r="4" spans="1:2" ht="15">
      <c r="A4" s="56" t="s">
        <v>157</v>
      </c>
      <c r="B4" s="29"/>
    </row>
    <row r="5" spans="1:2" ht="15">
      <c r="A5" s="29"/>
      <c r="B5" s="29"/>
    </row>
    <row r="8" spans="6:15" ht="15.75">
      <c r="F8" s="97"/>
      <c r="G8" s="98"/>
      <c r="H8" s="98"/>
      <c r="I8" s="98"/>
      <c r="O8" s="20" t="s">
        <v>168</v>
      </c>
    </row>
    <row r="9" ht="15.75">
      <c r="A9" s="5" t="s">
        <v>169</v>
      </c>
    </row>
    <row r="10" ht="15">
      <c r="A10" s="4" t="s">
        <v>288</v>
      </c>
    </row>
    <row r="11" spans="1:5" ht="15.75">
      <c r="A11" s="28" t="s">
        <v>170</v>
      </c>
      <c r="B11" s="4" t="s">
        <v>52</v>
      </c>
      <c r="C11" s="5"/>
      <c r="D11" s="5"/>
      <c r="E11" s="5"/>
    </row>
    <row r="12" ht="15">
      <c r="B12" s="4" t="s">
        <v>171</v>
      </c>
    </row>
    <row r="13" ht="15">
      <c r="B13" s="4" t="s">
        <v>240</v>
      </c>
    </row>
    <row r="14" ht="15">
      <c r="B14" s="4" t="s">
        <v>328</v>
      </c>
    </row>
    <row r="16" ht="15">
      <c r="B16" s="4" t="s">
        <v>232</v>
      </c>
    </row>
    <row r="17" ht="15">
      <c r="B17" s="4" t="s">
        <v>289</v>
      </c>
    </row>
    <row r="18" ht="15">
      <c r="B18" s="4" t="s">
        <v>290</v>
      </c>
    </row>
    <row r="20" ht="15">
      <c r="B20" s="4" t="s">
        <v>235</v>
      </c>
    </row>
    <row r="21" ht="15">
      <c r="B21" s="4" t="s">
        <v>236</v>
      </c>
    </row>
    <row r="22" ht="15">
      <c r="B22" s="4" t="s">
        <v>237</v>
      </c>
    </row>
    <row r="25" spans="1:2" ht="15">
      <c r="A25" s="4" t="s">
        <v>172</v>
      </c>
      <c r="B25" s="4" t="s">
        <v>122</v>
      </c>
    </row>
    <row r="26" ht="15">
      <c r="B26" s="4" t="s">
        <v>173</v>
      </c>
    </row>
    <row r="27" ht="15">
      <c r="B27" s="4" t="s">
        <v>211</v>
      </c>
    </row>
    <row r="30" spans="1:2" ht="15">
      <c r="A30" s="4" t="s">
        <v>174</v>
      </c>
      <c r="B30" s="4" t="s">
        <v>70</v>
      </c>
    </row>
    <row r="31" ht="15">
      <c r="B31" s="4" t="s">
        <v>296</v>
      </c>
    </row>
    <row r="32" ht="15">
      <c r="B32" s="4" t="s">
        <v>175</v>
      </c>
    </row>
    <row r="35" spans="1:2" ht="15">
      <c r="A35" s="4" t="s">
        <v>176</v>
      </c>
      <c r="B35" s="4" t="s">
        <v>53</v>
      </c>
    </row>
    <row r="36" ht="15">
      <c r="B36" s="4" t="s">
        <v>54</v>
      </c>
    </row>
    <row r="39" spans="1:2" ht="15">
      <c r="A39" s="4" t="s">
        <v>177</v>
      </c>
      <c r="B39" s="4" t="s">
        <v>110</v>
      </c>
    </row>
    <row r="40" ht="15">
      <c r="B40" s="4" t="s">
        <v>282</v>
      </c>
    </row>
    <row r="41" ht="15">
      <c r="B41" s="4" t="s">
        <v>297</v>
      </c>
    </row>
    <row r="42" ht="15">
      <c r="B42" s="4" t="s">
        <v>298</v>
      </c>
    </row>
    <row r="44" ht="15">
      <c r="B44" s="4" t="s">
        <v>287</v>
      </c>
    </row>
    <row r="45" ht="15">
      <c r="B45" s="4" t="s">
        <v>285</v>
      </c>
    </row>
    <row r="46" spans="2:6" ht="15.75">
      <c r="B46" s="4" t="s">
        <v>286</v>
      </c>
      <c r="F46" s="103"/>
    </row>
    <row r="49" spans="1:2" ht="15">
      <c r="A49" s="4" t="s">
        <v>178</v>
      </c>
      <c r="B49" s="4" t="s">
        <v>71</v>
      </c>
    </row>
    <row r="50" spans="1:2" ht="15">
      <c r="A50" s="4" t="s">
        <v>63</v>
      </c>
      <c r="B50" s="4" t="s">
        <v>292</v>
      </c>
    </row>
    <row r="51" ht="15">
      <c r="B51" s="4" t="s">
        <v>302</v>
      </c>
    </row>
    <row r="53" ht="15">
      <c r="B53" s="4" t="s">
        <v>219</v>
      </c>
    </row>
    <row r="54" ht="15">
      <c r="B54" s="4" t="s">
        <v>220</v>
      </c>
    </row>
    <row r="55" ht="15">
      <c r="B55" s="4" t="s">
        <v>221</v>
      </c>
    </row>
    <row r="58" spans="1:7" ht="15.75">
      <c r="A58" s="4" t="s">
        <v>179</v>
      </c>
      <c r="B58" s="4" t="s">
        <v>91</v>
      </c>
      <c r="G58" s="5"/>
    </row>
    <row r="59" spans="2:7" ht="15.75">
      <c r="B59" s="4" t="s">
        <v>242</v>
      </c>
      <c r="G59" s="5"/>
    </row>
    <row r="60" spans="2:7" ht="15.75">
      <c r="B60" s="4" t="s">
        <v>279</v>
      </c>
      <c r="G60" s="5"/>
    </row>
    <row r="61" ht="15.75">
      <c r="G61" s="5"/>
    </row>
    <row r="62" spans="2:7" ht="15.75">
      <c r="B62" s="4" t="s">
        <v>241</v>
      </c>
      <c r="G62" s="5"/>
    </row>
    <row r="63" spans="2:7" ht="15.75">
      <c r="B63" s="4" t="s">
        <v>280</v>
      </c>
      <c r="G63" s="5"/>
    </row>
    <row r="64" ht="15.75">
      <c r="G64" s="5"/>
    </row>
    <row r="65" spans="7:15" ht="15.75">
      <c r="G65" s="5"/>
      <c r="O65" s="20" t="s">
        <v>181</v>
      </c>
    </row>
    <row r="66" ht="15.75">
      <c r="G66" s="5"/>
    </row>
    <row r="67" spans="1:17" ht="15.75">
      <c r="A67" s="4" t="s">
        <v>180</v>
      </c>
      <c r="B67" s="4" t="s">
        <v>83</v>
      </c>
      <c r="G67" s="5"/>
      <c r="Q67" s="5"/>
    </row>
    <row r="68" ht="15">
      <c r="B68" s="4" t="s">
        <v>84</v>
      </c>
    </row>
    <row r="69" spans="6:18" ht="15">
      <c r="F69" s="8"/>
      <c r="J69" s="8"/>
      <c r="L69" s="8"/>
      <c r="M69" s="8"/>
      <c r="N69" s="8"/>
      <c r="P69" s="15"/>
      <c r="Q69" s="15"/>
      <c r="R69" s="8"/>
    </row>
    <row r="70" spans="6:18" ht="15">
      <c r="F70" s="8"/>
      <c r="I70" s="15" t="s">
        <v>124</v>
      </c>
      <c r="J70" s="8"/>
      <c r="L70" s="8"/>
      <c r="M70" s="8"/>
      <c r="N70" s="8"/>
      <c r="P70" s="15"/>
      <c r="Q70" s="15"/>
      <c r="R70" s="8"/>
    </row>
    <row r="71" spans="6:18" ht="15">
      <c r="F71" s="8"/>
      <c r="G71" s="8" t="s">
        <v>114</v>
      </c>
      <c r="I71" s="15" t="s">
        <v>144</v>
      </c>
      <c r="J71" s="8"/>
      <c r="K71" s="8" t="s">
        <v>85</v>
      </c>
      <c r="L71" s="8"/>
      <c r="M71" s="8" t="s">
        <v>86</v>
      </c>
      <c r="N71" s="8"/>
      <c r="P71" s="15"/>
      <c r="Q71" s="15"/>
      <c r="R71" s="8"/>
    </row>
    <row r="72" spans="6:18" ht="15">
      <c r="F72" s="8"/>
      <c r="J72" s="8"/>
      <c r="L72" s="8"/>
      <c r="N72" s="8"/>
      <c r="P72" s="15"/>
      <c r="Q72" s="15"/>
      <c r="R72" s="8"/>
    </row>
    <row r="73" spans="5:18" ht="15">
      <c r="E73" s="157" t="s">
        <v>14</v>
      </c>
      <c r="F73" s="157"/>
      <c r="G73" s="157"/>
      <c r="I73" s="8" t="s">
        <v>14</v>
      </c>
      <c r="J73" s="8"/>
      <c r="K73" s="8" t="s">
        <v>14</v>
      </c>
      <c r="L73" s="8"/>
      <c r="M73" s="8" t="s">
        <v>14</v>
      </c>
      <c r="N73" s="8"/>
      <c r="P73" s="15"/>
      <c r="Q73" s="15"/>
      <c r="R73" s="8"/>
    </row>
    <row r="74" spans="6:18" ht="15">
      <c r="F74" s="8"/>
      <c r="J74" s="8"/>
      <c r="L74" s="8"/>
      <c r="N74" s="8"/>
      <c r="P74" s="15"/>
      <c r="Q74" s="15"/>
      <c r="R74" s="8"/>
    </row>
    <row r="75" spans="2:18" ht="15">
      <c r="B75" s="4" t="s">
        <v>140</v>
      </c>
      <c r="F75" s="8"/>
      <c r="J75" s="8"/>
      <c r="L75" s="8"/>
      <c r="N75" s="8"/>
      <c r="P75" s="15"/>
      <c r="Q75" s="15"/>
      <c r="R75" s="8"/>
    </row>
    <row r="76" spans="2:18" ht="15">
      <c r="B76" s="4" t="s">
        <v>47</v>
      </c>
      <c r="F76" s="8"/>
      <c r="J76" s="8"/>
      <c r="L76" s="8"/>
      <c r="N76" s="8"/>
      <c r="P76" s="15"/>
      <c r="Q76" s="15"/>
      <c r="R76" s="8"/>
    </row>
    <row r="77" spans="3:18" ht="15">
      <c r="C77" s="4" t="s">
        <v>111</v>
      </c>
      <c r="F77" s="8"/>
      <c r="G77" s="23">
        <v>5191061</v>
      </c>
      <c r="H77" s="23"/>
      <c r="I77" s="23">
        <f>2413083+2127</f>
        <v>2415210</v>
      </c>
      <c r="J77" s="24"/>
      <c r="K77" s="148">
        <v>0</v>
      </c>
      <c r="L77" s="24"/>
      <c r="M77" s="23">
        <f>G77+I77+K77</f>
        <v>7606271</v>
      </c>
      <c r="N77" s="24"/>
      <c r="O77" s="122"/>
      <c r="P77" s="15"/>
      <c r="Q77" s="15"/>
      <c r="R77" s="8"/>
    </row>
    <row r="78" spans="2:18" ht="15">
      <c r="B78" s="4" t="s">
        <v>112</v>
      </c>
      <c r="F78" s="8"/>
      <c r="G78" s="115">
        <f>SUM(G77:G77)</f>
        <v>5191061</v>
      </c>
      <c r="H78" s="26"/>
      <c r="I78" s="138">
        <f>SUM(I77:I77)</f>
        <v>2415210</v>
      </c>
      <c r="J78" s="139"/>
      <c r="K78" s="140">
        <f>SUM(K77:K77)</f>
        <v>0</v>
      </c>
      <c r="L78" s="141"/>
      <c r="M78" s="115">
        <f>SUM(M77:M77)</f>
        <v>7606271</v>
      </c>
      <c r="N78" s="24"/>
      <c r="P78" s="15"/>
      <c r="Q78" s="15"/>
      <c r="R78" s="8"/>
    </row>
    <row r="79" spans="6:18" ht="15">
      <c r="F79" s="8"/>
      <c r="G79" s="23"/>
      <c r="H79" s="23"/>
      <c r="I79" s="122"/>
      <c r="J79" s="141"/>
      <c r="K79" s="122"/>
      <c r="L79" s="141"/>
      <c r="M79" s="23"/>
      <c r="N79" s="24"/>
      <c r="P79" s="15"/>
      <c r="Q79" s="15"/>
      <c r="R79" s="8"/>
    </row>
    <row r="80" spans="2:18" ht="15">
      <c r="B80" s="4" t="s">
        <v>113</v>
      </c>
      <c r="F80" s="8"/>
      <c r="G80" s="23"/>
      <c r="H80" s="23"/>
      <c r="I80" s="122"/>
      <c r="J80" s="141"/>
      <c r="K80" s="122"/>
      <c r="L80" s="141"/>
      <c r="M80" s="23"/>
      <c r="N80" s="24"/>
      <c r="P80" s="15"/>
      <c r="Q80" s="15"/>
      <c r="R80" s="8"/>
    </row>
    <row r="81" spans="3:18" ht="15.75" thickBot="1">
      <c r="C81" s="4" t="s">
        <v>141</v>
      </c>
      <c r="F81" s="8"/>
      <c r="G81" s="142">
        <f>2569286-3494</f>
        <v>2565792</v>
      </c>
      <c r="H81" s="23"/>
      <c r="I81" s="143">
        <f>43078+780</f>
        <v>43858</v>
      </c>
      <c r="J81" s="141"/>
      <c r="K81" s="143">
        <f>504022-604252</f>
        <v>-100230</v>
      </c>
      <c r="L81" s="141"/>
      <c r="M81" s="142">
        <f>G81+I81+K81</f>
        <v>2509420</v>
      </c>
      <c r="N81" s="24"/>
      <c r="O81" s="122"/>
      <c r="P81" s="15"/>
      <c r="Q81" s="15"/>
      <c r="R81" s="8"/>
    </row>
    <row r="82" spans="6:18" ht="15.75" thickTop="1">
      <c r="F82" s="8"/>
      <c r="G82" s="23"/>
      <c r="H82" s="23"/>
      <c r="I82" s="23"/>
      <c r="J82" s="24"/>
      <c r="K82" s="23"/>
      <c r="L82" s="24"/>
      <c r="M82" s="99"/>
      <c r="N82" s="24"/>
      <c r="O82" s="23"/>
      <c r="P82" s="15"/>
      <c r="Q82" s="15"/>
      <c r="R82" s="8"/>
    </row>
    <row r="83" spans="6:18" ht="15">
      <c r="F83" s="8"/>
      <c r="G83" s="23"/>
      <c r="H83" s="23"/>
      <c r="I83" s="23"/>
      <c r="J83" s="24"/>
      <c r="K83" s="23"/>
      <c r="L83" s="24"/>
      <c r="M83" s="24"/>
      <c r="N83" s="24"/>
      <c r="O83" s="23"/>
      <c r="P83" s="15"/>
      <c r="Q83" s="15"/>
      <c r="R83" s="8"/>
    </row>
    <row r="84" spans="1:17" ht="15.75">
      <c r="A84" s="4" t="s">
        <v>182</v>
      </c>
      <c r="B84" s="4" t="s">
        <v>183</v>
      </c>
      <c r="Q84" s="5"/>
    </row>
    <row r="85" spans="2:17" ht="15.75">
      <c r="B85" s="4" t="s">
        <v>243</v>
      </c>
      <c r="Q85" s="5"/>
    </row>
    <row r="86" spans="2:17" ht="15.75">
      <c r="B86" s="4" t="s">
        <v>244</v>
      </c>
      <c r="Q86" s="5"/>
    </row>
    <row r="89" spans="1:2" ht="15">
      <c r="A89" s="4" t="s">
        <v>184</v>
      </c>
      <c r="B89" s="4" t="s">
        <v>185</v>
      </c>
    </row>
    <row r="90" ht="15">
      <c r="B90" s="4" t="s">
        <v>299</v>
      </c>
    </row>
    <row r="91" ht="15">
      <c r="B91" s="4" t="s">
        <v>312</v>
      </c>
    </row>
    <row r="92" ht="15">
      <c r="B92" s="4" t="s">
        <v>313</v>
      </c>
    </row>
    <row r="93" ht="15">
      <c r="B93" s="4" t="s">
        <v>314</v>
      </c>
    </row>
    <row r="94" ht="15.75">
      <c r="F94" s="100"/>
    </row>
    <row r="95" spans="2:6" ht="15">
      <c r="B95" s="101"/>
      <c r="F95" s="102"/>
    </row>
    <row r="96" spans="1:2" ht="15">
      <c r="A96" s="4" t="s">
        <v>186</v>
      </c>
      <c r="B96" s="4" t="s">
        <v>68</v>
      </c>
    </row>
    <row r="97" ht="15">
      <c r="B97" s="4" t="s">
        <v>291</v>
      </c>
    </row>
    <row r="98" ht="15">
      <c r="B98" s="4" t="s">
        <v>269</v>
      </c>
    </row>
    <row r="99" ht="15">
      <c r="B99" s="4" t="s">
        <v>315</v>
      </c>
    </row>
    <row r="100" ht="15">
      <c r="B100" s="4" t="s">
        <v>270</v>
      </c>
    </row>
    <row r="101" ht="15.75">
      <c r="F101" s="103"/>
    </row>
    <row r="102" spans="2:6" ht="15.75">
      <c r="B102" s="4" t="s">
        <v>261</v>
      </c>
      <c r="F102" s="103"/>
    </row>
    <row r="104" spans="1:7" ht="15">
      <c r="A104" s="4" t="s">
        <v>187</v>
      </c>
      <c r="B104" s="4" t="s">
        <v>77</v>
      </c>
      <c r="G104" s="15"/>
    </row>
    <row r="105" ht="15">
      <c r="B105" s="4" t="s">
        <v>78</v>
      </c>
    </row>
    <row r="107" ht="15">
      <c r="I107" s="8" t="s">
        <v>14</v>
      </c>
    </row>
    <row r="109" ht="15">
      <c r="B109" s="4" t="s">
        <v>79</v>
      </c>
    </row>
    <row r="110" spans="2:9" ht="15">
      <c r="B110" s="4" t="s">
        <v>80</v>
      </c>
      <c r="I110" s="17"/>
    </row>
    <row r="111" spans="2:9" ht="15">
      <c r="B111" s="4" t="s">
        <v>262</v>
      </c>
      <c r="I111" s="18">
        <v>16069</v>
      </c>
    </row>
    <row r="112" ht="15">
      <c r="G112" s="18"/>
    </row>
    <row r="113" ht="15">
      <c r="G113" s="18"/>
    </row>
    <row r="114" spans="1:9" ht="15.75">
      <c r="A114" s="4" t="s">
        <v>188</v>
      </c>
      <c r="B114" s="4" t="s">
        <v>88</v>
      </c>
      <c r="I114" s="5"/>
    </row>
    <row r="115" spans="2:9" ht="15.75">
      <c r="B115" s="4" t="s">
        <v>294</v>
      </c>
      <c r="I115" s="5"/>
    </row>
    <row r="116" spans="1:9" ht="15.75">
      <c r="A116" s="5"/>
      <c r="B116" s="4" t="s">
        <v>303</v>
      </c>
      <c r="I116" s="5"/>
    </row>
    <row r="117" spans="1:9" ht="15.75">
      <c r="A117" s="5"/>
      <c r="B117" s="4" t="s">
        <v>304</v>
      </c>
      <c r="I117" s="5"/>
    </row>
    <row r="118" ht="15">
      <c r="B118" s="4" t="s">
        <v>305</v>
      </c>
    </row>
    <row r="120" ht="15">
      <c r="B120" s="29"/>
    </row>
    <row r="121" spans="1:11" ht="15.75">
      <c r="A121" s="4" t="s">
        <v>189</v>
      </c>
      <c r="B121" s="4" t="s">
        <v>87</v>
      </c>
      <c r="K121" s="5"/>
    </row>
    <row r="122" ht="15">
      <c r="B122" s="4" t="s">
        <v>295</v>
      </c>
    </row>
    <row r="123" ht="15">
      <c r="B123" s="4" t="s">
        <v>316</v>
      </c>
    </row>
    <row r="126" spans="1:9" ht="15.75">
      <c r="A126" s="4" t="s">
        <v>190</v>
      </c>
      <c r="B126" s="4" t="s">
        <v>89</v>
      </c>
      <c r="I126" s="5"/>
    </row>
    <row r="127" spans="2:9" ht="15.75">
      <c r="B127" s="4" t="s">
        <v>306</v>
      </c>
      <c r="I127" s="5"/>
    </row>
    <row r="128" spans="2:9" ht="15.75">
      <c r="B128" s="4" t="s">
        <v>307</v>
      </c>
      <c r="I128" s="5"/>
    </row>
    <row r="129" ht="15">
      <c r="B129" s="4" t="s">
        <v>308</v>
      </c>
    </row>
    <row r="130" spans="1:15" ht="15.75" hidden="1">
      <c r="A130" s="4" t="s">
        <v>109</v>
      </c>
      <c r="B130" s="4" t="s">
        <v>90</v>
      </c>
      <c r="L130" s="5"/>
      <c r="M130" s="5"/>
      <c r="N130" s="5"/>
      <c r="O130" s="5"/>
    </row>
    <row r="131" ht="15" hidden="1">
      <c r="B131" s="4" t="s">
        <v>123</v>
      </c>
    </row>
    <row r="132" ht="15" hidden="1"/>
    <row r="133" ht="15" hidden="1"/>
    <row r="136" spans="1:2" ht="15">
      <c r="A136" s="4" t="s">
        <v>191</v>
      </c>
      <c r="B136" s="4" t="s">
        <v>145</v>
      </c>
    </row>
    <row r="137" ht="15">
      <c r="B137" s="4" t="s">
        <v>192</v>
      </c>
    </row>
    <row r="138" ht="15.75">
      <c r="O138" s="20" t="s">
        <v>193</v>
      </c>
    </row>
    <row r="139" ht="15.75">
      <c r="O139" s="20"/>
    </row>
    <row r="140" spans="1:2" ht="15">
      <c r="A140" s="4" t="s">
        <v>194</v>
      </c>
      <c r="B140" s="6" t="s">
        <v>55</v>
      </c>
    </row>
    <row r="141" spans="7:11" ht="15">
      <c r="G141" s="8" t="s">
        <v>263</v>
      </c>
      <c r="H141" s="7"/>
      <c r="I141" s="7" t="s">
        <v>264</v>
      </c>
      <c r="J141" s="7"/>
      <c r="K141" s="7"/>
    </row>
    <row r="142" spans="7:11" ht="15">
      <c r="G142" s="8" t="s">
        <v>14</v>
      </c>
      <c r="H142" s="8"/>
      <c r="I142" s="8" t="s">
        <v>14</v>
      </c>
      <c r="J142" s="8"/>
      <c r="K142" s="8"/>
    </row>
    <row r="143" spans="9:11" ht="15">
      <c r="I143" s="6"/>
      <c r="K143" s="6"/>
    </row>
    <row r="144" spans="2:11" ht="15">
      <c r="B144" s="6" t="s">
        <v>283</v>
      </c>
      <c r="D144" s="6"/>
      <c r="E144" s="6"/>
      <c r="F144" s="6"/>
      <c r="G144" s="9"/>
      <c r="H144" s="9"/>
      <c r="I144" s="9"/>
      <c r="J144" s="10"/>
      <c r="K144" s="6"/>
    </row>
    <row r="145" spans="2:11" ht="15">
      <c r="B145" s="6" t="s">
        <v>284</v>
      </c>
      <c r="D145" s="6"/>
      <c r="E145" s="6"/>
      <c r="F145" s="6"/>
      <c r="G145" s="9"/>
      <c r="H145" s="9"/>
      <c r="I145" s="9"/>
      <c r="J145" s="10"/>
      <c r="K145" s="6"/>
    </row>
    <row r="146" spans="2:11" ht="15">
      <c r="B146" s="6"/>
      <c r="C146" s="6"/>
      <c r="D146" s="6"/>
      <c r="E146" s="6"/>
      <c r="F146" s="6"/>
      <c r="G146" s="9"/>
      <c r="H146" s="9"/>
      <c r="I146" s="9"/>
      <c r="J146" s="10"/>
      <c r="K146" s="6"/>
    </row>
    <row r="147" spans="2:11" ht="15">
      <c r="B147" s="6" t="s">
        <v>56</v>
      </c>
      <c r="D147" s="6"/>
      <c r="E147" s="6"/>
      <c r="F147" s="6"/>
      <c r="G147" s="9"/>
      <c r="H147" s="9"/>
      <c r="I147" s="9"/>
      <c r="J147" s="10"/>
      <c r="K147" s="6"/>
    </row>
    <row r="148" spans="2:11" ht="15">
      <c r="B148" s="6"/>
      <c r="C148" s="11" t="s">
        <v>57</v>
      </c>
      <c r="D148" s="6"/>
      <c r="E148" s="6"/>
      <c r="F148" s="6"/>
      <c r="G148" s="94">
        <f>I148-(-4993-3216-2158-240-3)</f>
        <v>1003</v>
      </c>
      <c r="H148" s="135"/>
      <c r="I148" s="94">
        <v>-9607</v>
      </c>
      <c r="J148" s="10"/>
      <c r="K148" s="94"/>
    </row>
    <row r="149" spans="2:11" ht="15">
      <c r="B149" s="6"/>
      <c r="C149" s="11" t="s">
        <v>58</v>
      </c>
      <c r="D149" s="6"/>
      <c r="E149" s="6"/>
      <c r="F149" s="6"/>
      <c r="G149" s="135">
        <f>I149-(-1025-15-49-1)</f>
        <v>321</v>
      </c>
      <c r="H149" s="135"/>
      <c r="I149" s="135">
        <f>-586-183</f>
        <v>-769</v>
      </c>
      <c r="J149" s="10"/>
      <c r="K149" s="12"/>
    </row>
    <row r="150" spans="2:11" ht="15">
      <c r="B150" s="6"/>
      <c r="C150" s="6"/>
      <c r="D150" s="6"/>
      <c r="E150" s="6"/>
      <c r="F150" s="6"/>
      <c r="G150" s="135"/>
      <c r="H150" s="135"/>
      <c r="I150" s="135"/>
      <c r="J150" s="10"/>
      <c r="K150" s="9"/>
    </row>
    <row r="151" spans="2:11" ht="15">
      <c r="B151" s="6" t="s">
        <v>59</v>
      </c>
      <c r="C151" s="6"/>
      <c r="D151" s="6"/>
      <c r="E151" s="6"/>
      <c r="F151" s="6"/>
      <c r="G151" s="94">
        <f>I151-(-6+77-1)</f>
        <v>3179</v>
      </c>
      <c r="H151" s="135"/>
      <c r="I151" s="94">
        <f>3163+86</f>
        <v>3249</v>
      </c>
      <c r="J151" s="10"/>
      <c r="K151" s="12"/>
    </row>
    <row r="152" spans="2:11" ht="15">
      <c r="B152" s="6"/>
      <c r="C152" s="6"/>
      <c r="D152" s="6"/>
      <c r="E152" s="6"/>
      <c r="F152" s="6"/>
      <c r="G152" s="135"/>
      <c r="H152" s="135"/>
      <c r="I152" s="135"/>
      <c r="J152" s="10"/>
      <c r="K152" s="6"/>
    </row>
    <row r="153" spans="2:11" ht="15.75" thickBot="1">
      <c r="B153" s="6"/>
      <c r="C153" s="6"/>
      <c r="D153" s="13"/>
      <c r="E153" s="6"/>
      <c r="F153" s="6"/>
      <c r="G153" s="136">
        <f>SUM(G148:G151)</f>
        <v>4503</v>
      </c>
      <c r="H153" s="135"/>
      <c r="I153" s="136">
        <f>SUM(I148:I151)</f>
        <v>-7127</v>
      </c>
      <c r="J153" s="9"/>
      <c r="K153" s="14"/>
    </row>
    <row r="154" spans="2:10" ht="15.75" thickTop="1">
      <c r="B154" s="6"/>
      <c r="C154" s="6"/>
      <c r="D154" s="6"/>
      <c r="E154" s="6"/>
      <c r="F154" s="6"/>
      <c r="G154" s="9"/>
      <c r="H154" s="9"/>
      <c r="I154" s="9"/>
      <c r="J154" s="10"/>
    </row>
    <row r="155" spans="2:10" ht="15">
      <c r="B155" s="4" t="s">
        <v>245</v>
      </c>
      <c r="G155" s="10"/>
      <c r="H155" s="10"/>
      <c r="I155" s="10"/>
      <c r="J155" s="10"/>
    </row>
    <row r="156" spans="2:10" ht="15">
      <c r="B156" s="4" t="s">
        <v>246</v>
      </c>
      <c r="G156" s="10"/>
      <c r="H156" s="10"/>
      <c r="I156" s="10"/>
      <c r="J156" s="10"/>
    </row>
    <row r="157" spans="2:10" ht="15">
      <c r="B157" s="4" t="s">
        <v>247</v>
      </c>
      <c r="G157" s="10"/>
      <c r="H157" s="10"/>
      <c r="I157" s="10"/>
      <c r="J157" s="10"/>
    </row>
    <row r="158" spans="7:10" ht="15">
      <c r="G158" s="10"/>
      <c r="H158" s="10"/>
      <c r="I158" s="10"/>
      <c r="J158" s="10"/>
    </row>
    <row r="159" spans="7:10" ht="15">
      <c r="G159" s="10"/>
      <c r="H159" s="10"/>
      <c r="I159" s="10"/>
      <c r="J159" s="10"/>
    </row>
    <row r="160" spans="1:11" ht="15">
      <c r="A160" s="4" t="s">
        <v>195</v>
      </c>
      <c r="B160" s="4" t="s">
        <v>60</v>
      </c>
      <c r="K160" s="15"/>
    </row>
    <row r="161" ht="15">
      <c r="B161" s="4" t="s">
        <v>61</v>
      </c>
    </row>
    <row r="163" ht="15.75">
      <c r="O163" s="20"/>
    </row>
    <row r="164" spans="1:11" ht="15">
      <c r="A164" s="4" t="s">
        <v>196</v>
      </c>
      <c r="B164" s="4" t="s">
        <v>62</v>
      </c>
      <c r="K164" s="15"/>
    </row>
    <row r="165" spans="1:3" ht="15">
      <c r="A165" s="4" t="s">
        <v>63</v>
      </c>
      <c r="B165" s="4" t="s">
        <v>197</v>
      </c>
      <c r="C165" s="4" t="s">
        <v>267</v>
      </c>
    </row>
    <row r="167" ht="15">
      <c r="C167" s="4" t="s">
        <v>265</v>
      </c>
    </row>
    <row r="168" ht="15">
      <c r="C168" s="4" t="s">
        <v>266</v>
      </c>
    </row>
    <row r="171" spans="2:3" ht="15">
      <c r="B171" s="4" t="s">
        <v>198</v>
      </c>
      <c r="C171" s="4" t="s">
        <v>268</v>
      </c>
    </row>
    <row r="173" spans="3:10" ht="15.75">
      <c r="C173" s="4" t="s">
        <v>46</v>
      </c>
      <c r="H173" s="20"/>
      <c r="I173" s="7" t="s">
        <v>14</v>
      </c>
      <c r="J173" s="5"/>
    </row>
    <row r="174" spans="3:10" ht="15">
      <c r="C174" s="4" t="s">
        <v>64</v>
      </c>
      <c r="H174" s="16"/>
      <c r="I174" s="21">
        <v>9245</v>
      </c>
      <c r="J174" s="16"/>
    </row>
    <row r="175" spans="3:13" ht="15">
      <c r="C175" s="4" t="s">
        <v>65</v>
      </c>
      <c r="H175" s="16"/>
      <c r="I175" s="21">
        <v>5432</v>
      </c>
      <c r="J175" s="16"/>
      <c r="M175" s="104"/>
    </row>
    <row r="176" spans="3:13" ht="15">
      <c r="C176" s="4" t="s">
        <v>66</v>
      </c>
      <c r="H176" s="16"/>
      <c r="I176" s="21">
        <v>5432</v>
      </c>
      <c r="J176" s="16"/>
      <c r="M176" s="27"/>
    </row>
    <row r="177" spans="8:15" ht="15.75">
      <c r="H177" s="16"/>
      <c r="I177" s="21"/>
      <c r="J177" s="16"/>
      <c r="O177" s="5"/>
    </row>
    <row r="178" spans="3:11" ht="15">
      <c r="C178" s="4" t="s">
        <v>67</v>
      </c>
      <c r="I178" s="7" t="s">
        <v>14</v>
      </c>
      <c r="K178" s="27"/>
    </row>
    <row r="179" spans="3:11" ht="15">
      <c r="C179" s="4" t="s">
        <v>64</v>
      </c>
      <c r="I179" s="21">
        <v>192814</v>
      </c>
      <c r="K179" s="105"/>
    </row>
    <row r="180" spans="3:11" ht="15">
      <c r="C180" s="4" t="s">
        <v>65</v>
      </c>
      <c r="I180" s="21">
        <v>192814</v>
      </c>
      <c r="K180" s="27"/>
    </row>
    <row r="181" spans="3:11" ht="15">
      <c r="C181" s="4" t="s">
        <v>66</v>
      </c>
      <c r="I181" s="21">
        <v>210197</v>
      </c>
      <c r="K181" s="27"/>
    </row>
    <row r="182" ht="15">
      <c r="I182" s="21"/>
    </row>
    <row r="183" ht="15">
      <c r="I183" s="21"/>
    </row>
    <row r="184" spans="1:2" ht="15">
      <c r="A184" s="4" t="s">
        <v>199</v>
      </c>
      <c r="B184" s="4" t="s">
        <v>69</v>
      </c>
    </row>
    <row r="185" ht="15">
      <c r="B185" s="4" t="s">
        <v>309</v>
      </c>
    </row>
    <row r="186" ht="15">
      <c r="B186" s="4" t="s">
        <v>310</v>
      </c>
    </row>
    <row r="188" ht="15.75">
      <c r="Q188" s="5"/>
    </row>
    <row r="189" spans="1:2" ht="15">
      <c r="A189" s="4" t="s">
        <v>200</v>
      </c>
      <c r="B189" s="4" t="s">
        <v>72</v>
      </c>
    </row>
    <row r="190" spans="2:3" ht="15">
      <c r="B190" s="4" t="s">
        <v>197</v>
      </c>
      <c r="C190" s="4" t="s">
        <v>271</v>
      </c>
    </row>
    <row r="191" ht="15">
      <c r="C191" s="4" t="s">
        <v>239</v>
      </c>
    </row>
    <row r="193" ht="15">
      <c r="I193" s="17" t="s">
        <v>14</v>
      </c>
    </row>
    <row r="194" ht="15">
      <c r="C194" s="4" t="s">
        <v>29</v>
      </c>
    </row>
    <row r="195" spans="3:9" ht="15">
      <c r="C195" s="4" t="s">
        <v>73</v>
      </c>
      <c r="I195" s="119">
        <v>573430</v>
      </c>
    </row>
    <row r="196" spans="3:9" ht="15">
      <c r="C196" s="4" t="s">
        <v>74</v>
      </c>
      <c r="I196" s="119">
        <v>4616340</v>
      </c>
    </row>
    <row r="197" spans="9:11" ht="15">
      <c r="I197" s="120">
        <f>SUM(I195:I196)</f>
        <v>5189770</v>
      </c>
      <c r="K197" s="153"/>
    </row>
    <row r="198" ht="15">
      <c r="I198" s="119"/>
    </row>
    <row r="199" spans="3:9" ht="15">
      <c r="C199" s="4" t="s">
        <v>43</v>
      </c>
      <c r="I199" s="119"/>
    </row>
    <row r="200" spans="3:9" ht="15">
      <c r="C200" s="106" t="s">
        <v>217</v>
      </c>
      <c r="I200" s="119">
        <v>3183580</v>
      </c>
    </row>
    <row r="201" spans="3:9" ht="15">
      <c r="C201" s="106" t="s">
        <v>216</v>
      </c>
      <c r="I201" s="119">
        <v>960094</v>
      </c>
    </row>
    <row r="202" spans="3:9" ht="15">
      <c r="C202" s="106" t="s">
        <v>215</v>
      </c>
      <c r="I202" s="119">
        <v>22807</v>
      </c>
    </row>
    <row r="203" spans="9:11" ht="15">
      <c r="I203" s="120">
        <f>SUM(I200:I202)</f>
        <v>4166481</v>
      </c>
      <c r="K203" s="153"/>
    </row>
    <row r="204" spans="3:9" ht="15.75" thickBot="1">
      <c r="C204" s="4" t="s">
        <v>75</v>
      </c>
      <c r="I204" s="121">
        <f>+I197+I203</f>
        <v>9356251</v>
      </c>
    </row>
    <row r="205" ht="15.75" thickTop="1"/>
    <row r="206" spans="2:3" ht="15">
      <c r="B206" s="4" t="s">
        <v>198</v>
      </c>
      <c r="C206" s="4" t="s">
        <v>281</v>
      </c>
    </row>
    <row r="208" ht="15">
      <c r="G208" s="17" t="s">
        <v>14</v>
      </c>
    </row>
    <row r="209" ht="15">
      <c r="G209" s="15"/>
    </row>
    <row r="210" spans="3:7" ht="15">
      <c r="C210" s="4" t="s">
        <v>76</v>
      </c>
      <c r="G210" s="119">
        <v>8333445</v>
      </c>
    </row>
    <row r="211" ht="15">
      <c r="G211" s="10"/>
    </row>
    <row r="212" spans="7:15" ht="15.75">
      <c r="G212" s="10"/>
      <c r="O212" s="20" t="s">
        <v>201</v>
      </c>
    </row>
    <row r="213" ht="15">
      <c r="G213" s="10"/>
    </row>
    <row r="214" spans="1:11" ht="15.75">
      <c r="A214" s="4" t="s">
        <v>202</v>
      </c>
      <c r="B214" s="4" t="s">
        <v>81</v>
      </c>
      <c r="K214" s="19"/>
    </row>
    <row r="215" ht="15">
      <c r="B215" s="4" t="s">
        <v>223</v>
      </c>
    </row>
    <row r="216" ht="15">
      <c r="B216" s="4" t="s">
        <v>224</v>
      </c>
    </row>
    <row r="217" ht="15">
      <c r="B217" s="4" t="s">
        <v>225</v>
      </c>
    </row>
    <row r="218" ht="15">
      <c r="B218" s="4" t="s">
        <v>278</v>
      </c>
    </row>
    <row r="219" ht="15">
      <c r="B219" s="4" t="s">
        <v>276</v>
      </c>
    </row>
    <row r="220" ht="15">
      <c r="B220" s="4" t="s">
        <v>293</v>
      </c>
    </row>
    <row r="222" ht="15">
      <c r="B222" s="4" t="s">
        <v>226</v>
      </c>
    </row>
    <row r="223" ht="15">
      <c r="B223" s="4" t="s">
        <v>227</v>
      </c>
    </row>
    <row r="225" ht="15">
      <c r="B225" s="4" t="s">
        <v>311</v>
      </c>
    </row>
    <row r="226" ht="15">
      <c r="B226" s="4" t="s">
        <v>228</v>
      </c>
    </row>
    <row r="229" spans="1:7" ht="15.75">
      <c r="A229" s="4" t="s">
        <v>203</v>
      </c>
      <c r="B229" s="4" t="s">
        <v>107</v>
      </c>
      <c r="G229" s="5"/>
    </row>
    <row r="230" ht="15">
      <c r="B230" s="4" t="s">
        <v>82</v>
      </c>
    </row>
    <row r="233" spans="1:2" ht="15">
      <c r="A233" s="4" t="s">
        <v>204</v>
      </c>
      <c r="B233" s="4" t="s">
        <v>91</v>
      </c>
    </row>
    <row r="234" ht="15">
      <c r="B234" s="4" t="s">
        <v>319</v>
      </c>
    </row>
    <row r="235" ht="15">
      <c r="B235" s="102" t="s">
        <v>320</v>
      </c>
    </row>
    <row r="236" ht="15">
      <c r="B236" s="4" t="s">
        <v>321</v>
      </c>
    </row>
    <row r="237" ht="15">
      <c r="B237" s="102" t="s">
        <v>322</v>
      </c>
    </row>
    <row r="238" ht="15">
      <c r="B238" s="102" t="s">
        <v>323</v>
      </c>
    </row>
    <row r="239" ht="15">
      <c r="B239" s="102"/>
    </row>
    <row r="240" ht="15">
      <c r="B240" s="4" t="s">
        <v>324</v>
      </c>
    </row>
    <row r="241" ht="15">
      <c r="B241" s="4" t="s">
        <v>325</v>
      </c>
    </row>
    <row r="242" ht="15">
      <c r="B242" s="4" t="s">
        <v>326</v>
      </c>
    </row>
    <row r="243" ht="15">
      <c r="B243" s="4" t="s">
        <v>330</v>
      </c>
    </row>
    <row r="244" ht="15">
      <c r="B244" s="4" t="s">
        <v>327</v>
      </c>
    </row>
    <row r="246" spans="2:3" ht="15">
      <c r="B246" s="4" t="s">
        <v>197</v>
      </c>
      <c r="C246" s="4" t="s">
        <v>317</v>
      </c>
    </row>
    <row r="247" ht="15">
      <c r="C247" s="4" t="s">
        <v>273</v>
      </c>
    </row>
    <row r="249" spans="2:3" ht="15">
      <c r="B249" s="4" t="s">
        <v>198</v>
      </c>
      <c r="C249" s="4" t="s">
        <v>318</v>
      </c>
    </row>
    <row r="250" ht="15">
      <c r="C250" s="4" t="s">
        <v>274</v>
      </c>
    </row>
    <row r="252" spans="2:3" ht="15">
      <c r="B252" s="4" t="s">
        <v>272</v>
      </c>
      <c r="C252" s="4" t="s">
        <v>329</v>
      </c>
    </row>
    <row r="255" spans="1:7" ht="15.75">
      <c r="A255" s="4" t="s">
        <v>205</v>
      </c>
      <c r="B255" s="4" t="s">
        <v>108</v>
      </c>
      <c r="G255" s="5"/>
    </row>
    <row r="256" spans="2:7" ht="15.75">
      <c r="B256" s="4" t="s">
        <v>125</v>
      </c>
      <c r="G256" s="5"/>
    </row>
    <row r="257" ht="15.75">
      <c r="G257" s="5"/>
    </row>
    <row r="258" spans="2:7" ht="15.75">
      <c r="B258" s="4" t="s">
        <v>197</v>
      </c>
      <c r="C258" s="4" t="s">
        <v>300</v>
      </c>
      <c r="G258" s="5"/>
    </row>
    <row r="259" spans="3:7" ht="15.75">
      <c r="C259" s="4" t="s">
        <v>301</v>
      </c>
      <c r="G259" s="5"/>
    </row>
    <row r="260" spans="3:7" ht="15.75">
      <c r="C260" s="4" t="s">
        <v>275</v>
      </c>
      <c r="G260" s="5"/>
    </row>
    <row r="261" spans="3:7" ht="15.75">
      <c r="C261" s="4" t="s">
        <v>229</v>
      </c>
      <c r="G261" s="5"/>
    </row>
    <row r="262" ht="15.75">
      <c r="G262" s="5"/>
    </row>
    <row r="263" spans="2:7" ht="15.75">
      <c r="B263" s="4" t="s">
        <v>198</v>
      </c>
      <c r="C263" s="4" t="s">
        <v>230</v>
      </c>
      <c r="G263" s="5"/>
    </row>
    <row r="264" spans="3:7" ht="15.75">
      <c r="C264" s="4" t="s">
        <v>231</v>
      </c>
      <c r="G264" s="5"/>
    </row>
    <row r="265" ht="15.75">
      <c r="G265" s="5"/>
    </row>
    <row r="266" spans="2:7" ht="15.75">
      <c r="B266" s="4" t="s">
        <v>206</v>
      </c>
      <c r="G266" s="5"/>
    </row>
    <row r="267" spans="2:7" ht="15.75">
      <c r="B267" s="4" t="s">
        <v>207</v>
      </c>
      <c r="G267" s="5"/>
    </row>
    <row r="268" ht="15.75">
      <c r="G268" s="5"/>
    </row>
    <row r="269" ht="15.75">
      <c r="G269" s="5"/>
    </row>
    <row r="270" spans="1:14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5">
      <c r="A276" s="6"/>
      <c r="B276" s="6"/>
      <c r="C276" s="6"/>
      <c r="D276" s="6"/>
      <c r="E276" s="6"/>
      <c r="F276" s="6"/>
      <c r="G276" s="47"/>
      <c r="H276" s="6"/>
      <c r="I276" s="6"/>
      <c r="J276" s="6"/>
      <c r="K276" s="47"/>
      <c r="L276" s="6"/>
      <c r="M276" s="6"/>
      <c r="N276" s="6"/>
    </row>
    <row r="277" spans="1:14" ht="15">
      <c r="A277" s="6"/>
      <c r="B277" s="6"/>
      <c r="C277" s="6"/>
      <c r="D277" s="6"/>
      <c r="E277" s="6"/>
      <c r="F277" s="6"/>
      <c r="G277" s="47"/>
      <c r="H277" s="6"/>
      <c r="I277" s="6"/>
      <c r="J277" s="6"/>
      <c r="K277" s="47"/>
      <c r="L277" s="6"/>
      <c r="M277" s="6"/>
      <c r="N277" s="6"/>
    </row>
    <row r="278" spans="1:14" ht="15">
      <c r="A278" s="6"/>
      <c r="B278" s="6"/>
      <c r="C278" s="6"/>
      <c r="D278" s="6"/>
      <c r="E278" s="6"/>
      <c r="F278" s="6"/>
      <c r="G278" s="47"/>
      <c r="H278" s="6"/>
      <c r="I278" s="6"/>
      <c r="J278" s="6"/>
      <c r="K278" s="47"/>
      <c r="L278" s="6"/>
      <c r="M278" s="6"/>
      <c r="N278" s="6"/>
    </row>
    <row r="279" spans="1:14" ht="15">
      <c r="A279" s="6"/>
      <c r="B279" s="6"/>
      <c r="C279" s="6"/>
      <c r="D279" s="6"/>
      <c r="E279" s="6"/>
      <c r="F279" s="6"/>
      <c r="G279" s="107"/>
      <c r="H279" s="6"/>
      <c r="I279" s="6"/>
      <c r="J279" s="6"/>
      <c r="K279" s="107"/>
      <c r="L279" s="6"/>
      <c r="M279" s="6"/>
      <c r="N279" s="6"/>
    </row>
    <row r="280" spans="1:14" ht="15">
      <c r="A280" s="6"/>
      <c r="B280" s="6"/>
      <c r="C280" s="6"/>
      <c r="D280" s="6"/>
      <c r="E280" s="6"/>
      <c r="F280" s="6"/>
      <c r="G280" s="108"/>
      <c r="H280" s="6"/>
      <c r="I280" s="6"/>
      <c r="J280" s="6"/>
      <c r="K280" s="108"/>
      <c r="L280" s="6"/>
      <c r="M280" s="6"/>
      <c r="N280" s="6"/>
    </row>
    <row r="281" spans="1:14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5">
      <c r="A283" s="6"/>
      <c r="B283" s="6"/>
      <c r="C283" s="6"/>
      <c r="D283" s="6"/>
      <c r="E283" s="6"/>
      <c r="F283" s="6"/>
      <c r="G283" s="26"/>
      <c r="H283" s="26"/>
      <c r="I283" s="26"/>
      <c r="J283" s="26"/>
      <c r="K283" s="26"/>
      <c r="L283" s="6"/>
      <c r="M283" s="6"/>
      <c r="N283" s="6"/>
    </row>
    <row r="284" spans="1:14" ht="15">
      <c r="A284" s="6"/>
      <c r="B284" s="6"/>
      <c r="C284" s="6"/>
      <c r="D284" s="6"/>
      <c r="E284" s="6"/>
      <c r="F284" s="6"/>
      <c r="G284" s="109"/>
      <c r="H284" s="6"/>
      <c r="I284" s="6"/>
      <c r="J284" s="6"/>
      <c r="K284" s="109"/>
      <c r="L284" s="6"/>
      <c r="M284" s="6"/>
      <c r="N284" s="6"/>
    </row>
    <row r="285" spans="1:14" ht="15">
      <c r="A285" s="6"/>
      <c r="B285" s="6"/>
      <c r="C285" s="6"/>
      <c r="D285" s="6"/>
      <c r="E285" s="6"/>
      <c r="F285" s="6"/>
      <c r="G285" s="110"/>
      <c r="H285" s="110"/>
      <c r="I285" s="110"/>
      <c r="J285" s="110"/>
      <c r="K285" s="110"/>
      <c r="L285" s="6"/>
      <c r="M285" s="6"/>
      <c r="N285" s="6"/>
    </row>
    <row r="286" spans="1:14" ht="15">
      <c r="A286" s="6"/>
      <c r="B286" s="6"/>
      <c r="C286" s="6"/>
      <c r="D286" s="6"/>
      <c r="E286" s="6"/>
      <c r="F286" s="6"/>
      <c r="G286" s="109"/>
      <c r="H286" s="6"/>
      <c r="I286" s="6"/>
      <c r="J286" s="6"/>
      <c r="K286" s="109"/>
      <c r="L286" s="6"/>
      <c r="M286" s="6"/>
      <c r="N286" s="6"/>
    </row>
    <row r="287" spans="1:14" ht="15">
      <c r="A287" s="6"/>
      <c r="B287" s="6"/>
      <c r="C287" s="6"/>
      <c r="D287" s="6"/>
      <c r="E287" s="6"/>
      <c r="F287" s="6"/>
      <c r="G287" s="109"/>
      <c r="H287" s="6"/>
      <c r="I287" s="6"/>
      <c r="J287" s="6"/>
      <c r="K287" s="109"/>
      <c r="L287" s="6"/>
      <c r="M287" s="6"/>
      <c r="N287" s="6"/>
    </row>
  </sheetData>
  <sheetProtection password="C724" sheet="1" objects="1" scenarios="1"/>
  <mergeCells count="1">
    <mergeCell ref="E73:G73"/>
  </mergeCells>
  <printOptions/>
  <pageMargins left="0.5" right="0.5" top="0.52" bottom="0.43" header="0.48" footer="0.16"/>
  <pageSetup cellComments="asDisplayed" horizontalDpi="600" verticalDpi="600" orientation="portrait" paperSize="10" scale="69" r:id="rId2"/>
  <rowBreaks count="4" manualBreakCount="4">
    <brk id="64" max="14" man="1"/>
    <brk id="137" max="14" man="1"/>
    <brk id="211" max="14" man="1"/>
    <brk id="269" max="14" man="1"/>
  </rowBreaks>
  <colBreaks count="1" manualBreakCount="1">
    <brk id="15" min="8" max="20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version submitted to KLSE</dc:title>
  <dc:subject/>
  <dc:creator>mit</dc:creator>
  <cp:keywords/>
  <dc:description/>
  <cp:lastModifiedBy>Petronas</cp:lastModifiedBy>
  <cp:lastPrinted>2004-05-24T09:53:56Z</cp:lastPrinted>
  <dcterms:created xsi:type="dcterms:W3CDTF">2000-09-06T00:55:32Z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